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0" windowWidth="9468" windowHeight="4800" tabRatio="6" activeTab="0"/>
  </bookViews>
  <sheets>
    <sheet name="A" sheetId="1" r:id="rId1"/>
    <sheet name="   " sheetId="2" r:id="rId2"/>
    <sheet name="ViewAnalysis" sheetId="3" r:id="rId3"/>
    <sheet name="ViewResults" sheetId="4" r:id="rId4"/>
    <sheet name="Clear" sheetId="5" r:id="rId5"/>
    <sheet name="Menu" sheetId="6" r:id="rId6"/>
    <sheet name="PrintAnalysis" sheetId="7" state="hidden" r:id="rId7"/>
    <sheet name="InputData" sheetId="8" r:id="rId8"/>
    <sheet name="Print" sheetId="9" r:id="rId9"/>
  </sheets>
  <definedNames>
    <definedName name="\0">'A'!$AU$113</definedName>
    <definedName name="\M">'A'!$AE$78</definedName>
    <definedName name="\P">'A'!$AD$116</definedName>
    <definedName name="\Q">'A'!$AF$113</definedName>
    <definedName name="\R">'A'!$AH$113</definedName>
    <definedName name="\S">'A'!$AJ$113</definedName>
    <definedName name="\T">'A'!$AL$113</definedName>
    <definedName name="\U">'A'!$AN$113</definedName>
    <definedName name="\V">'A'!$AP$113</definedName>
    <definedName name="\W">'A'!$AR$113</definedName>
    <definedName name="ACwvu.resultsummary." localSheetId="0" hidden="1">'A'!$A$181:$H$196</definedName>
    <definedName name="ANALYSIS">'A'!$AE$84</definedName>
    <definedName name="CLEAN">'A'!$AF$180</definedName>
    <definedName name="MENU">'A'!$AE$80</definedName>
    <definedName name="_xlnm.Print_Area" localSheetId="0">'A'!$A$150:$H$177</definedName>
    <definedName name="RESULTS">'A'!$AE$88</definedName>
    <definedName name="Swvu.resultsummary." localSheetId="0" hidden="1">'A'!$A$181:$H$196</definedName>
    <definedName name="TOANALYS">'A'!$AE$97</definedName>
    <definedName name="TOPRINT">'A'!$AE$92</definedName>
    <definedName name="TORESULT">'A'!$AE$101</definedName>
    <definedName name="ViewSummarResultSell">#REF!</definedName>
    <definedName name="wvu.resultsummary." localSheetId="0" hidden="1">{TRUE,TRUE,1.75,1.75,474,235.5,FALSE,TRUE,TRUE,TRUE,15,1,#N/A,130,#N/A,7.545454545454545,14.941176470588236,1,FALSE,FALSE,1,TRUE,1,FALSE,87,"Swvu.resultsummary.","ACwvu.resultsummary.",#N/A,FALSE,FALSE,0.5,0.5,0.5,0.5,1,"&amp;L\a560&amp;C\b560&amp;R\e560","",FALSE,FALSE,FALSE,FALSE,1,76,#N/A,#N/A,"=R20C1:R83C8",FALSE,#N/A,#N/A,FALSE,FALSE,FALSE,1,180,180,FALSE,FALSE,TRUE,TRUE,TRUE}</definedName>
  </definedNames>
  <calcPr fullCalcOnLoad="1"/>
</workbook>
</file>

<file path=xl/sharedStrings.xml><?xml version="1.0" encoding="utf-8"?>
<sst xmlns="http://schemas.openxmlformats.org/spreadsheetml/2006/main" count="434" uniqueCount="285">
  <si>
    <t>Table 3.   Present Value of $1</t>
  </si>
  <si>
    <t>Table 4a.  Annual Payments Required to Amortize $1 when Payments are Monthly</t>
  </si>
  <si>
    <t>Table 1a.   Proportion of Total Annual Payments that are Interest</t>
  </si>
  <si>
    <t xml:space="preserve">            Even Payments, Principal and Interest</t>
  </si>
  <si>
    <t xml:space="preserve">   when Payments are Monthly</t>
  </si>
  <si>
    <t>Interest Rate (percent)</t>
  </si>
  <si>
    <t>Year</t>
  </si>
  <si>
    <t>Interest</t>
  </si>
  <si>
    <t>Repayment Period (years)</t>
  </si>
  <si>
    <t xml:space="preserve">     Lease Analysis Program (LEAP)</t>
  </si>
  <si>
    <t>15th</t>
  </si>
  <si>
    <t>14th</t>
  </si>
  <si>
    <t>13th</t>
  </si>
  <si>
    <t>12th</t>
  </si>
  <si>
    <t>11th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</si>
  <si>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</si>
  <si>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</si>
  <si>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</si>
  <si>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</si>
  <si>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</si>
  <si>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</si>
  <si>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</si>
  <si>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</si>
  <si>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</si>
  <si>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Rate</t>
  </si>
  <si>
    <t>to last</t>
  </si>
  <si>
    <t>last year</t>
  </si>
  <si>
    <t>by</t>
  </si>
  <si>
    <t xml:space="preserve">      Cornell University</t>
  </si>
  <si>
    <t>Lease cost analysis - sale of the purchased asset at the end of the lease period</t>
  </si>
  <si>
    <t>(Sale of the asset at the end of the lease period is part of the purchase with financing analysis)</t>
  </si>
  <si>
    <t>Press control M (hold down control and press M) to get main menu.</t>
  </si>
  <si>
    <t>LEASE COST ANALYSIS (TABLE C)</t>
  </si>
  <si>
    <t>Item</t>
  </si>
  <si>
    <t>Advance</t>
  </si>
  <si>
    <t>a. Lease payment</t>
  </si>
  <si>
    <t>This table can be used for any loan with a term of one to fifteen years.  Use the last "x" columns</t>
  </si>
  <si>
    <t>b. Costs saved (-), added (+)</t>
  </si>
  <si>
    <t>of the table, where "x" is the term of the loan in years.  For example, if a four year loan</t>
  </si>
  <si>
    <t>Input Data for Lease Analysis</t>
  </si>
  <si>
    <t xml:space="preserve">Lease  Analyzed - - - -  </t>
  </si>
  <si>
    <t>c. Net lease Costs</t>
  </si>
  <si>
    <t>with a ten percent interest is being used, use the last four columns of the 10 percent row, i.e. in</t>
  </si>
  <si>
    <t>Analysis conducted for:</t>
  </si>
  <si>
    <t>d. Tax rate (decimal form)</t>
  </si>
  <si>
    <t>year 1, 0.30 of the payments made will be interest; in year 2, 0.22 of the payments will be interest,</t>
  </si>
  <si>
    <t>e. Tax benefit (c x d)</t>
  </si>
  <si>
    <t>in year 3, 0.14 of the payments will be interest and in the last year .05 percent will be interest.</t>
  </si>
  <si>
    <t>Lease</t>
  </si>
  <si>
    <t>Costs saved or added</t>
  </si>
  <si>
    <t>Other Ownership costs</t>
  </si>
  <si>
    <t>f.  Net after tax cost (c - e)</t>
  </si>
  <si>
    <t>Payment</t>
  </si>
  <si>
    <t>due to the lease</t>
  </si>
  <si>
    <t>due to purchase</t>
  </si>
  <si>
    <t>g.  Refundable deposit</t>
  </si>
  <si>
    <t>Total payment for a year are obtained by multiplying the table value by the loan amount.</t>
  </si>
  <si>
    <t xml:space="preserve">    advance</t>
  </si>
  <si>
    <t>h.  Total costs (f + g)</t>
  </si>
  <si>
    <t>For example, if the loan amount for a four year loan at 10 percent interest is $100,000,</t>
  </si>
  <si>
    <t>i. P.V. factor (after tax - Table 3)</t>
  </si>
  <si>
    <t>the payments for a year are calculated as .3044 times 100,000, which equals $30,440.</t>
  </si>
  <si>
    <t>j.  Net present value</t>
  </si>
  <si>
    <t>k. Total net present value of all costs</t>
  </si>
  <si>
    <t xml:space="preserve">Table 4b.  Annual Payments Required to Amortize $1 </t>
  </si>
  <si>
    <t>PURCHASE WITH FINANCING ANALYSIS (TABLE D)</t>
  </si>
  <si>
    <t>Down pmt.</t>
  </si>
  <si>
    <t>a. Loan payment (table 4 x cost)</t>
  </si>
  <si>
    <t>b. Interest proportion (Table 1)</t>
  </si>
  <si>
    <t>c. Interest (a x b)</t>
  </si>
  <si>
    <t>d. Depreciation (Table 2 x cost)</t>
  </si>
  <si>
    <t>Table 1b.   Proportion of Total Annual Payments that are Interest</t>
  </si>
  <si>
    <t>Table 2.  Annual Depreciation (Percent of Orginal Cost Basis)</t>
  </si>
  <si>
    <t>e. Other Ownership costs</t>
  </si>
  <si>
    <t xml:space="preserve">   when Payments are Annual</t>
  </si>
  <si>
    <t>150 % Declining Balance Method</t>
  </si>
  <si>
    <t>f. Dedutcitle ownership cost (c+d+e)</t>
  </si>
  <si>
    <t>Recovery</t>
  </si>
  <si>
    <t>Marginal state tax rate - - - - - - - - -</t>
  </si>
  <si>
    <t>g.  Residual value</t>
  </si>
  <si>
    <t>year</t>
  </si>
  <si>
    <t xml:space="preserve">Marginal federal tax rate - - - - - - - </t>
  </si>
  <si>
    <t>Total</t>
  </si>
  <si>
    <t>Marginal self employment tax rate -</t>
  </si>
  <si>
    <t xml:space="preserve">Marginal tax (%) rate is  </t>
  </si>
  <si>
    <t>h.</t>
  </si>
  <si>
    <t>Undepreciated balance</t>
  </si>
  <si>
    <t>i.</t>
  </si>
  <si>
    <t>Taxable income</t>
  </si>
  <si>
    <t>Before tax discount rate or</t>
  </si>
  <si>
    <t>j.</t>
  </si>
  <si>
    <t>Unpaid loan pricipal</t>
  </si>
  <si>
    <t xml:space="preserve">        opportunity cost of capital - - - </t>
  </si>
  <si>
    <t>After tax discount rate is</t>
  </si>
  <si>
    <t>k. Net tax deductible costs (f - i)</t>
  </si>
  <si>
    <t>l. Tax rate (decimal form)</t>
  </si>
  <si>
    <t>Depreciation period (years) - - - - - - - - - - - - - -</t>
  </si>
  <si>
    <t xml:space="preserve">   Section 179 expense deduction</t>
  </si>
  <si>
    <t>m Tax benefit (k x l)</t>
  </si>
  <si>
    <t xml:space="preserve">        taken on purchase</t>
  </si>
  <si>
    <t>n. Net after tax cost (a+e-g+j-m)</t>
  </si>
  <si>
    <t>Down payment on loan for purchase option - - - -</t>
  </si>
  <si>
    <t>o.  Investment tax credit</t>
  </si>
  <si>
    <t>Purchase cost of asset (including down payment)</t>
  </si>
  <si>
    <t>p. Investment credit recapture</t>
  </si>
  <si>
    <t>q.  Total cost (n-o+p)</t>
  </si>
  <si>
    <t xml:space="preserve">Refundable deposit required with lease - - - - - - </t>
  </si>
  <si>
    <t>r. P.V. Factor (after tax - Table 3)</t>
  </si>
  <si>
    <t>the payments for a year are calculated as .3155 times 100,000, which equals $31,550.</t>
  </si>
  <si>
    <t>s.  Net present value (q x r)</t>
  </si>
  <si>
    <t>Investment tax credit with purchase - - - - - - - - -</t>
  </si>
  <si>
    <t>t.  Total net present value of costs</t>
  </si>
  <si>
    <t>year 1, 0.32 of the payments made will be interest; in year 2, 0.25 of the payments will be interest,</t>
  </si>
  <si>
    <t>If the analysis is to assume purchase of  leased asset at the end of the lease period</t>
  </si>
  <si>
    <t xml:space="preserve"> (BUY)</t>
  </si>
  <si>
    <t>in year 3, 0.17 of the payments will be interest and in the last year .09 percent will be interest.</t>
  </si>
  <si>
    <t>Term of the lease (years) - - - - - - - - - - - - - - - - - - - - - - - -</t>
  </si>
  <si>
    <t>Number of years to be analyzed - - - - - - - - - - - - - - - - - - -</t>
  </si>
  <si>
    <t>Residual value of the asset at the end of the lease period - - -</t>
  </si>
  <si>
    <t>Terminal value of the asset at the end of analysis period - - -</t>
  </si>
  <si>
    <t xml:space="preserve">    Term (years)</t>
  </si>
  <si>
    <t xml:space="preserve">    Interest rate (percent)</t>
  </si>
  <si>
    <t xml:space="preserve">    Payment per year</t>
  </si>
  <si>
    <t>Lease cost analysis - with purchase of the leased asset at the end of the lease</t>
  </si>
  <si>
    <t>Investment tax credit on purchase at end of lease period</t>
  </si>
  <si>
    <t>(Purchase of the asset at the end of the lease period is part of lease analysis)</t>
  </si>
  <si>
    <t>Section 179 expense deduction with purchase at end of lease period</t>
  </si>
  <si>
    <t>If the analysis is to assume sale of the purchased asset at the end of the lease period</t>
  </si>
  <si>
    <t>(SELL)</t>
  </si>
  <si>
    <t>LEASE COST ANALYSIS (TABLE  A)</t>
  </si>
  <si>
    <t>Term of the lease (number of years) - - - - - - - - - - - - - - - -</t>
  </si>
  <si>
    <t xml:space="preserve">Residual value of the asset at the end of the lease period - - - </t>
  </si>
  <si>
    <t>Credit terms for purchase of asset</t>
  </si>
  <si>
    <t xml:space="preserve">Term (years) - - - - - - - </t>
  </si>
  <si>
    <t xml:space="preserve">- - - - - - - - - - - - - - - - </t>
  </si>
  <si>
    <t>c. Net lease costs</t>
  </si>
  <si>
    <t>Interest rate (percent ) -</t>
  </si>
  <si>
    <t>d. Loan payment on residual</t>
  </si>
  <si>
    <t>Payments per year - - -</t>
  </si>
  <si>
    <t>e. Interest proportion (Table 1)</t>
  </si>
  <si>
    <t>f. Interest (d x e)</t>
  </si>
  <si>
    <t>********************************************</t>
  </si>
  <si>
    <t>End of Input of Data</t>
  </si>
  <si>
    <t>g. Depreciation (Table 2 x cost)</t>
  </si>
  <si>
    <t>h. Other Ownership costs</t>
  </si>
  <si>
    <t>i. Deductible ownership cost (f+g+h)</t>
  </si>
  <si>
    <t xml:space="preserve">  Terminal value (end of purchase life)</t>
  </si>
  <si>
    <t xml:space="preserve">j. </t>
  </si>
  <si>
    <t>k.</t>
  </si>
  <si>
    <t>li.</t>
  </si>
  <si>
    <t>Results Summary (Buy)</t>
  </si>
  <si>
    <t>m.</t>
  </si>
  <si>
    <t>Unpaid loan principal</t>
  </si>
  <si>
    <t>n. Net tax deductible costs (c+i-l)</t>
  </si>
  <si>
    <t xml:space="preserve">Lease analyzed is a: </t>
  </si>
  <si>
    <t>o. Tax rate (decimal form)</t>
  </si>
  <si>
    <t>p. Tax benefit (n x o)</t>
  </si>
  <si>
    <t xml:space="preserve">      This analysis compared leasing the asset for a period of</t>
  </si>
  <si>
    <t>years,</t>
  </si>
  <si>
    <t>q. Before tax costs (c+d+h-j+m)</t>
  </si>
  <si>
    <t xml:space="preserve">      followed by purchase of the asset for a residual value of</t>
  </si>
  <si>
    <t xml:space="preserve">dollars, </t>
  </si>
  <si>
    <t>r. Net after tax cost (q - p)</t>
  </si>
  <si>
    <t xml:space="preserve">      financed over</t>
  </si>
  <si>
    <t xml:space="preserve"> years, with interest at</t>
  </si>
  <si>
    <t>percent</t>
  </si>
  <si>
    <t>s.  Refundable deposit</t>
  </si>
  <si>
    <t xml:space="preserve">      to purchase of the asset for</t>
  </si>
  <si>
    <t>dollars, financed over a</t>
  </si>
  <si>
    <t xml:space="preserve">t.  Investment tax credit </t>
  </si>
  <si>
    <t xml:space="preserve">      total of</t>
  </si>
  <si>
    <t>years, with interest at</t>
  </si>
  <si>
    <t>percent.</t>
  </si>
  <si>
    <t>u.  Investment tax credit recapture</t>
  </si>
  <si>
    <t xml:space="preserve">      The total analysis period was</t>
  </si>
  <si>
    <t>years.</t>
  </si>
  <si>
    <t>v. Total costs (r + s - t + u)</t>
  </si>
  <si>
    <t>w. P.V. factor (after tax - Table 3)</t>
  </si>
  <si>
    <t>The results are:</t>
  </si>
  <si>
    <t>Present value of cost with purchase</t>
  </si>
  <si>
    <t>x .Net present value</t>
  </si>
  <si>
    <t>Present value of net costs of leasing</t>
  </si>
  <si>
    <t>y. Total net present value of costs</t>
  </si>
  <si>
    <t>Savings (or loss) with leasing</t>
  </si>
  <si>
    <t>PURCHASE WITH FINANCING ANALYSIS (TABLE B)</t>
  </si>
  <si>
    <t>Locates initial screen position</t>
  </si>
  <si>
    <t>Automatic execute macro</t>
  </si>
  <si>
    <t>a. Loan payment</t>
  </si>
  <si>
    <t>{goto}aq122~</t>
  </si>
  <si>
    <t>{goto}a1~</t>
  </si>
  <si>
    <t>f.Deductible ownership cost (c+d+e)</t>
  </si>
  <si>
    <t>g.  Terminal value</t>
  </si>
  <si>
    <t>Results Summary (Sell)</t>
  </si>
  <si>
    <t>Lease analyzed is a:</t>
  </si>
  <si>
    <t>percent, and</t>
  </si>
  <si>
    <t xml:space="preserve">      sale of the asset at the end of a</t>
  </si>
  <si>
    <t xml:space="preserve">year period for </t>
  </si>
  <si>
    <t xml:space="preserve">      a residual value of</t>
  </si>
  <si>
    <t>dollars.</t>
  </si>
  <si>
    <t>The lease is less costly than purchase with financing.</t>
  </si>
  <si>
    <t>Purchase with financing is less costly than the lease.</t>
  </si>
  <si>
    <t xml:space="preserve">              Eddy L. LaDue and Jacob Schuelke</t>
  </si>
  <si>
    <t>Federal</t>
  </si>
  <si>
    <t>State</t>
  </si>
  <si>
    <t xml:space="preserve">Self </t>
  </si>
  <si>
    <t>employment</t>
  </si>
  <si>
    <t xml:space="preserve">Years at </t>
  </si>
  <si>
    <t>these rates</t>
  </si>
  <si>
    <t>Marginal tax rates(enter in chronological order)</t>
  </si>
  <si>
    <t>Before tax opportunity cost of capital</t>
  </si>
  <si>
    <t xml:space="preserve">          </t>
  </si>
  <si>
    <t>Amount of Section 179 depreciation to be taken</t>
  </si>
  <si>
    <r>
      <t xml:space="preserve">Section 179 depreciation can be taken on </t>
    </r>
    <r>
      <rPr>
        <u val="single"/>
        <sz val="12"/>
        <rFont val="Arial"/>
        <family val="2"/>
      </rPr>
      <t>other</t>
    </r>
    <r>
      <rPr>
        <sz val="12"/>
        <rFont val="Arial"/>
        <family val="0"/>
      </rPr>
      <t xml:space="preserve"> purchases because this item is leased:</t>
    </r>
  </si>
  <si>
    <t>Before tax</t>
  </si>
  <si>
    <t>After tax</t>
  </si>
  <si>
    <t xml:space="preserve">     Cost of capital</t>
  </si>
  <si>
    <t>1st tax rates</t>
  </si>
  <si>
    <t>All</t>
  </si>
  <si>
    <t>years</t>
  </si>
  <si>
    <t>1st rate</t>
  </si>
  <si>
    <t>Opportunity cost of capital</t>
  </si>
  <si>
    <t>Cumulative</t>
  </si>
  <si>
    <t>Discount</t>
  </si>
  <si>
    <t>rate</t>
  </si>
  <si>
    <t xml:space="preserve">discount </t>
  </si>
  <si>
    <t>Truncated cumulative</t>
  </si>
  <si>
    <t>Years asset would otherwise be depreciated over(3,5,7,10,15 or 20)</t>
  </si>
  <si>
    <t>VALUE OF SECTION 179 ON OTHER ASSETS</t>
  </si>
  <si>
    <t>Deprectiation if not section 179</t>
  </si>
  <si>
    <t>(from above)</t>
  </si>
  <si>
    <t>discount rate =</t>
  </si>
  <si>
    <t>Tax rate (decimal form)</t>
  </si>
  <si>
    <t xml:space="preserve">     Opportunity</t>
  </si>
  <si>
    <t>Present value factor</t>
  </si>
  <si>
    <t>Amount of section 179 depr.</t>
  </si>
  <si>
    <t>Tax benefit</t>
  </si>
  <si>
    <t xml:space="preserve">Tax benefit </t>
  </si>
  <si>
    <t>P. V. of depr. If not 179.</t>
  </si>
  <si>
    <t>Tax rate and opportunity cost of capital calculations with variable cost of capital and tax rates over time</t>
  </si>
  <si>
    <t>Credit terms if the asset is purchased:</t>
  </si>
  <si>
    <t>Term (years)</t>
  </si>
  <si>
    <t>Payments per year</t>
  </si>
  <si>
    <t>Interest rate (if fixed)</t>
  </si>
  <si>
    <t>Years at these rates</t>
  </si>
  <si>
    <t>Expected interest rate (if variable)</t>
  </si>
  <si>
    <t>Variable interest rate</t>
  </si>
  <si>
    <t>Calculation of payments and interest portion with variable rates</t>
  </si>
  <si>
    <t>Loan pmt</t>
  </si>
  <si>
    <t>per $</t>
  </si>
  <si>
    <t>Loan pmt.</t>
  </si>
  <si>
    <t>per yr per $</t>
  </si>
  <si>
    <t>rem. Bal.</t>
  </si>
  <si>
    <t>Remaining</t>
  </si>
  <si>
    <t>bal. After 1</t>
  </si>
  <si>
    <t>yr. Pmts.</t>
  </si>
  <si>
    <t>orig. loan</t>
  </si>
  <si>
    <t>of balance</t>
  </si>
  <si>
    <t xml:space="preserve">Ann. Pmts </t>
  </si>
  <si>
    <t>principal</t>
  </si>
  <si>
    <t>portion of</t>
  </si>
  <si>
    <t>payment</t>
  </si>
  <si>
    <t>bal. As prop</t>
  </si>
  <si>
    <t xml:space="preserve"> </t>
  </si>
  <si>
    <t>as % of</t>
  </si>
  <si>
    <t>as %. Of</t>
  </si>
  <si>
    <t>Transponse of the above table values for ease in programming</t>
  </si>
  <si>
    <t>annual payment as % of original loan</t>
  </si>
  <si>
    <t>Interest as a percent of payment</t>
  </si>
  <si>
    <t>Remaining balance as proportion of loan</t>
  </si>
  <si>
    <t xml:space="preserve">        on other assets as a result of leasing</t>
  </si>
  <si>
    <t>Savings from not losing section 179 depreciation</t>
  </si>
  <si>
    <t>Present value of depreciation:</t>
  </si>
  <si>
    <t>Using Section 179</t>
  </si>
  <si>
    <t>Using ordinary depreciation</t>
  </si>
  <si>
    <t>Savings</t>
  </si>
  <si>
    <t xml:space="preserve">     Use of leasing allowed a total of</t>
  </si>
  <si>
    <t>dollars of other non leased assets</t>
  </si>
  <si>
    <t xml:space="preserve">     to be depreciated using Section 179 rather than being depreciated</t>
  </si>
  <si>
    <t xml:space="preserve">     depreciated over</t>
  </si>
  <si>
    <t>years using the 150% declining method.</t>
  </si>
  <si>
    <t>Credit terms for purchase at end of the lease:</t>
  </si>
  <si>
    <t>Test of line h109</t>
  </si>
  <si>
    <t>Chopper</t>
  </si>
  <si>
    <t>Les White</t>
  </si>
  <si>
    <t xml:space="preserve">         Version 2.0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</si>
</sst>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#,##0.0000_);[Red]\(#,##0.0000\)"/>
    <numFmt numFmtId="167" formatCode="#,##0.0000"/>
    <numFmt numFmtId="168" formatCode="#,##0.000000_);[Red]\(#,##0.000000\)"/>
    <numFmt numFmtId="169" formatCode="#,##0.00000_);[Red]\(#,##0.00000\)"/>
    <numFmt numFmtId="170" formatCode="0.00000"/>
    <numFmt numFmtId="171" formatCode="#,##0.00000000_);[Red]\(#,##0.00000000\)"/>
    <numFmt numFmtId="172" formatCode="0.00000000"/>
    <numFmt numFmtId="173" formatCode="0.000000000"/>
    <numFmt numFmtId="174" formatCode="&quot;$&quot;#,##0"/>
  </numFmts>
  <fonts count="11">
    <font>
      <sz val="12"/>
      <name val="Arial"/>
      <family val="0"/>
    </font>
    <font>
      <sz val="10"/>
      <name val="Arial"/>
      <family val="0"/>
    </font>
    <font>
      <sz val="18"/>
      <name val="NewCenturySchlbk"/>
      <family val="1"/>
    </font>
    <font>
      <b/>
      <sz val="12"/>
      <name val="Arial"/>
      <family val="2"/>
    </font>
    <font>
      <sz val="10"/>
      <color indexed="12"/>
      <name val="Courier"/>
      <family val="0"/>
    </font>
    <font>
      <b/>
      <sz val="14"/>
      <name val="Arial"/>
      <family val="0"/>
    </font>
    <font>
      <sz val="8"/>
      <name val="Tahoma"/>
      <family val="2"/>
    </font>
    <font>
      <sz val="12"/>
      <color indexed="12"/>
      <name val="Courier"/>
      <family val="3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0" fillId="0" borderId="1" xfId="0" applyNumberFormat="1" applyBorder="1" applyAlignment="1" applyProtection="1">
      <alignment/>
      <protection/>
    </xf>
    <xf numFmtId="0" fontId="0" fillId="0" borderId="5" xfId="0" applyBorder="1" applyAlignment="1">
      <alignment/>
    </xf>
    <xf numFmtId="165" fontId="0" fillId="0" borderId="4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9" xfId="0" applyNumberFormat="1" applyBorder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7" fillId="0" borderId="3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3" xfId="0" applyFont="1" applyBorder="1" applyAlignment="1" applyProtection="1">
      <alignment horizontal="left"/>
      <protection locked="0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8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13</xdr:row>
      <xdr:rowOff>114300</xdr:rowOff>
    </xdr:from>
    <xdr:to>
      <xdr:col>6</xdr:col>
      <xdr:colOff>666750</xdr:colOff>
      <xdr:row>16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686050"/>
          <a:ext cx="5229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CL236"/>
  <sheetViews>
    <sheetView tabSelected="1" defaultGridColor="0" zoomScale="75" zoomScaleNormal="75" colorId="22" workbookViewId="0" topLeftCell="A1">
      <pane xSplit="14976" topLeftCell="W1" activePane="topLeft" state="split"/>
      <selection pane="topLeft" activeCell="AC113" sqref="AC113"/>
      <selection pane="topRight" activeCell="W78" sqref="W78"/>
    </sheetView>
  </sheetViews>
  <sheetFormatPr defaultColWidth="9.77734375" defaultRowHeight="15"/>
  <cols>
    <col min="2" max="2" width="12.88671875" style="0" bestFit="1" customWidth="1"/>
    <col min="46" max="46" width="9.88671875" style="0" bestFit="1" customWidth="1"/>
    <col min="47" max="53" width="11.77734375" style="0" bestFit="1" customWidth="1"/>
    <col min="54" max="54" width="12.4453125" style="0" bestFit="1" customWidth="1"/>
    <col min="55" max="61" width="11.77734375" style="0" bestFit="1" customWidth="1"/>
  </cols>
  <sheetData>
    <row r="1" spans="31:73" ht="15">
      <c r="AE1">
        <v>15</v>
      </c>
      <c r="AF1">
        <v>14</v>
      </c>
      <c r="AG1">
        <v>13</v>
      </c>
      <c r="AH1">
        <v>12</v>
      </c>
      <c r="AI1">
        <v>11</v>
      </c>
      <c r="AJ1">
        <v>10</v>
      </c>
      <c r="AK1">
        <v>9</v>
      </c>
      <c r="AL1">
        <v>8</v>
      </c>
      <c r="AM1">
        <v>7</v>
      </c>
      <c r="AN1">
        <v>6</v>
      </c>
      <c r="AO1">
        <v>5</v>
      </c>
      <c r="AP1">
        <v>4</v>
      </c>
      <c r="AQ1">
        <v>3</v>
      </c>
      <c r="AR1">
        <v>2</v>
      </c>
      <c r="AS1">
        <v>1</v>
      </c>
      <c r="BI1" t="s">
        <v>0</v>
      </c>
      <c r="BU1" t="s">
        <v>1</v>
      </c>
    </row>
    <row r="2" spans="31:75" ht="15">
      <c r="AE2" t="s">
        <v>2</v>
      </c>
      <c r="BW2" t="s">
        <v>3</v>
      </c>
    </row>
    <row r="3" spans="33:62" ht="15">
      <c r="AG3" t="s">
        <v>4</v>
      </c>
      <c r="BJ3" t="s">
        <v>5</v>
      </c>
    </row>
    <row r="4" spans="56:85" ht="15">
      <c r="BD4" t="s">
        <v>6</v>
      </c>
      <c r="BU4" t="s">
        <v>7</v>
      </c>
      <c r="BX4" t="s">
        <v>8</v>
      </c>
      <c r="CD4" t="s">
        <v>7</v>
      </c>
      <c r="CG4" t="s">
        <v>8</v>
      </c>
    </row>
    <row r="5" spans="3:90" ht="22.5">
      <c r="C5" s="1" t="s">
        <v>9</v>
      </c>
      <c r="AD5" t="s">
        <v>7</v>
      </c>
      <c r="AE5" t="s">
        <v>10</v>
      </c>
      <c r="AF5" t="s">
        <v>11</v>
      </c>
      <c r="AG5" t="s">
        <v>12</v>
      </c>
      <c r="AH5" t="s">
        <v>13</v>
      </c>
      <c r="AI5" t="s">
        <v>14</v>
      </c>
      <c r="AJ5" t="s">
        <v>15</v>
      </c>
      <c r="AK5" t="s">
        <v>16</v>
      </c>
      <c r="AL5" t="s">
        <v>17</v>
      </c>
      <c r="AM5" t="s">
        <v>18</v>
      </c>
      <c r="AN5" t="s">
        <v>19</v>
      </c>
      <c r="AO5" t="s">
        <v>20</v>
      </c>
      <c r="AP5" t="s">
        <v>21</v>
      </c>
      <c r="AQ5" t="s">
        <v>22</v>
      </c>
      <c r="AR5" t="s">
        <v>23</v>
      </c>
      <c r="BE5">
        <v>1</v>
      </c>
      <c r="BF5">
        <v>2</v>
      </c>
      <c r="BG5">
        <v>3</v>
      </c>
      <c r="BH5">
        <v>4</v>
      </c>
      <c r="BI5">
        <v>5</v>
      </c>
      <c r="BJ5">
        <v>6</v>
      </c>
      <c r="BK5">
        <v>7</v>
      </c>
      <c r="BL5">
        <v>8</v>
      </c>
      <c r="BM5">
        <v>9</v>
      </c>
      <c r="BN5">
        <v>10</v>
      </c>
      <c r="BO5">
        <v>11</v>
      </c>
      <c r="BP5">
        <v>12</v>
      </c>
      <c r="BQ5">
        <v>13</v>
      </c>
      <c r="BR5">
        <v>14</v>
      </c>
      <c r="BU5" t="s">
        <v>24</v>
      </c>
      <c r="BV5">
        <v>1</v>
      </c>
      <c r="BW5">
        <v>2</v>
      </c>
      <c r="BX5">
        <v>3</v>
      </c>
      <c r="BY5">
        <v>4</v>
      </c>
      <c r="BZ5">
        <v>5</v>
      </c>
      <c r="CA5">
        <v>6</v>
      </c>
      <c r="CB5">
        <v>7</v>
      </c>
      <c r="CC5">
        <v>8</v>
      </c>
      <c r="CD5" t="s">
        <v>24</v>
      </c>
      <c r="CE5">
        <v>9</v>
      </c>
      <c r="CF5">
        <v>10</v>
      </c>
      <c r="CG5">
        <v>11</v>
      </c>
      <c r="CH5">
        <v>12</v>
      </c>
      <c r="CI5">
        <v>13</v>
      </c>
      <c r="CJ5">
        <v>14</v>
      </c>
      <c r="CK5">
        <v>15</v>
      </c>
      <c r="CL5">
        <v>16</v>
      </c>
    </row>
    <row r="6" spans="30:70" ht="15">
      <c r="AD6" t="s">
        <v>24</v>
      </c>
      <c r="AE6" t="s">
        <v>25</v>
      </c>
      <c r="AF6" t="s">
        <v>25</v>
      </c>
      <c r="AG6" t="s">
        <v>25</v>
      </c>
      <c r="AH6" t="s">
        <v>25</v>
      </c>
      <c r="AI6" t="s">
        <v>25</v>
      </c>
      <c r="AJ6" t="s">
        <v>25</v>
      </c>
      <c r="AK6" t="s">
        <v>25</v>
      </c>
      <c r="AL6" t="s">
        <v>25</v>
      </c>
      <c r="AM6" t="s">
        <v>25</v>
      </c>
      <c r="AN6" t="s">
        <v>25</v>
      </c>
      <c r="AO6" t="s">
        <v>25</v>
      </c>
      <c r="AP6" t="s">
        <v>25</v>
      </c>
      <c r="AQ6" t="s">
        <v>25</v>
      </c>
      <c r="AR6" t="s">
        <v>25</v>
      </c>
      <c r="AS6" t="s">
        <v>26</v>
      </c>
      <c r="BD6">
        <v>1</v>
      </c>
      <c r="BE6">
        <v>0.99</v>
      </c>
      <c r="BF6">
        <v>0.98</v>
      </c>
      <c r="BG6">
        <v>0.97</v>
      </c>
      <c r="BH6">
        <v>0.96</v>
      </c>
      <c r="BI6">
        <v>0.95</v>
      </c>
      <c r="BJ6">
        <v>0.94</v>
      </c>
      <c r="BK6">
        <v>0.93</v>
      </c>
      <c r="BL6">
        <v>0.93</v>
      </c>
      <c r="BM6">
        <v>0.92</v>
      </c>
      <c r="BN6">
        <v>0.91</v>
      </c>
      <c r="BO6">
        <v>0.9</v>
      </c>
      <c r="BP6">
        <v>0.89</v>
      </c>
      <c r="BQ6">
        <v>0.88</v>
      </c>
      <c r="BR6">
        <v>0.88</v>
      </c>
    </row>
    <row r="7" spans="5:90" ht="15">
      <c r="E7" t="s">
        <v>27</v>
      </c>
      <c r="AE7">
        <v>1</v>
      </c>
      <c r="AF7">
        <v>2</v>
      </c>
      <c r="AG7">
        <v>3</v>
      </c>
      <c r="AH7">
        <v>4</v>
      </c>
      <c r="AI7">
        <v>5</v>
      </c>
      <c r="AJ7">
        <v>6</v>
      </c>
      <c r="AK7">
        <v>7</v>
      </c>
      <c r="AL7">
        <v>8</v>
      </c>
      <c r="AM7">
        <v>9</v>
      </c>
      <c r="AN7">
        <v>10</v>
      </c>
      <c r="AO7">
        <v>11</v>
      </c>
      <c r="AP7">
        <v>12</v>
      </c>
      <c r="AQ7">
        <v>13</v>
      </c>
      <c r="AR7">
        <v>14</v>
      </c>
      <c r="AS7">
        <v>15</v>
      </c>
      <c r="BD7">
        <v>2</v>
      </c>
      <c r="BE7">
        <v>0.98</v>
      </c>
      <c r="BF7">
        <v>0.96</v>
      </c>
      <c r="BG7">
        <v>0.94</v>
      </c>
      <c r="BH7">
        <v>0.92</v>
      </c>
      <c r="BI7">
        <v>0.91</v>
      </c>
      <c r="BJ7">
        <v>0.89</v>
      </c>
      <c r="BK7">
        <v>0.87</v>
      </c>
      <c r="BL7">
        <v>0.86</v>
      </c>
      <c r="BM7">
        <v>0.84</v>
      </c>
      <c r="BN7">
        <v>0.83</v>
      </c>
      <c r="BO7">
        <v>0.81</v>
      </c>
      <c r="BP7">
        <v>0.8</v>
      </c>
      <c r="BQ7">
        <v>0.78</v>
      </c>
      <c r="BR7">
        <v>0.77</v>
      </c>
      <c r="BU7">
        <v>7.5</v>
      </c>
      <c r="BV7">
        <v>1.0411</v>
      </c>
      <c r="BW7">
        <v>0.54</v>
      </c>
      <c r="BX7">
        <v>0.3733</v>
      </c>
      <c r="BY7">
        <v>0.2901</v>
      </c>
      <c r="BZ7">
        <v>0.2405</v>
      </c>
      <c r="CA7">
        <v>0.2075</v>
      </c>
      <c r="CB7">
        <v>0.1841</v>
      </c>
      <c r="CC7">
        <v>0.1666</v>
      </c>
      <c r="CD7">
        <v>7.5</v>
      </c>
      <c r="CE7">
        <v>0.1531</v>
      </c>
      <c r="CF7">
        <v>0.1424</v>
      </c>
      <c r="CG7">
        <v>0.1338</v>
      </c>
      <c r="CH7">
        <v>0.1266</v>
      </c>
      <c r="CI7">
        <v>0.1206</v>
      </c>
      <c r="CJ7">
        <v>0.1156</v>
      </c>
      <c r="CK7">
        <v>0.1112</v>
      </c>
      <c r="CL7">
        <v>0.1075</v>
      </c>
    </row>
    <row r="8" spans="30:90" ht="15">
      <c r="AD8">
        <v>4</v>
      </c>
      <c r="AE8">
        <v>0.44</v>
      </c>
      <c r="AF8">
        <v>0.42</v>
      </c>
      <c r="AG8">
        <v>0.39</v>
      </c>
      <c r="AH8">
        <v>0.37</v>
      </c>
      <c r="AI8">
        <v>0.34</v>
      </c>
      <c r="AJ8">
        <v>0.32</v>
      </c>
      <c r="AK8">
        <v>0.29</v>
      </c>
      <c r="AL8">
        <v>0.26</v>
      </c>
      <c r="AM8">
        <v>0.23</v>
      </c>
      <c r="AN8">
        <v>0.2</v>
      </c>
      <c r="AO8">
        <v>0.17</v>
      </c>
      <c r="AP8">
        <v>0.13</v>
      </c>
      <c r="AQ8">
        <v>0.1</v>
      </c>
      <c r="AR8">
        <v>0.06</v>
      </c>
      <c r="AS8">
        <v>0.02</v>
      </c>
      <c r="BD8">
        <v>3</v>
      </c>
      <c r="BE8">
        <v>0.97</v>
      </c>
      <c r="BF8">
        <v>0.94</v>
      </c>
      <c r="BG8">
        <v>0.92</v>
      </c>
      <c r="BH8">
        <v>0.89</v>
      </c>
      <c r="BI8">
        <v>0.86</v>
      </c>
      <c r="BJ8">
        <v>0.84</v>
      </c>
      <c r="BK8">
        <v>0.82</v>
      </c>
      <c r="BL8">
        <v>0.79</v>
      </c>
      <c r="BM8">
        <v>0.77</v>
      </c>
      <c r="BN8">
        <v>0.75</v>
      </c>
      <c r="BO8">
        <v>0.73</v>
      </c>
      <c r="BP8">
        <v>0.71</v>
      </c>
      <c r="BQ8">
        <v>0.69</v>
      </c>
      <c r="BR8">
        <v>0.67</v>
      </c>
      <c r="BU8">
        <v>8</v>
      </c>
      <c r="BV8">
        <v>1.0439</v>
      </c>
      <c r="BW8">
        <v>0.5427</v>
      </c>
      <c r="BX8">
        <v>0.376</v>
      </c>
      <c r="BY8">
        <v>0.293</v>
      </c>
      <c r="BZ8">
        <v>0.2433</v>
      </c>
      <c r="CA8">
        <v>0.2104</v>
      </c>
      <c r="CB8">
        <v>0.187</v>
      </c>
      <c r="CC8">
        <v>0.1696</v>
      </c>
      <c r="CD8">
        <v>8</v>
      </c>
      <c r="CE8">
        <v>0.1562</v>
      </c>
      <c r="CF8">
        <v>0.1456</v>
      </c>
      <c r="CG8">
        <v>0.137</v>
      </c>
      <c r="CH8">
        <v>0.1299</v>
      </c>
      <c r="CI8">
        <v>0.124</v>
      </c>
      <c r="CJ8">
        <v>0.11900000000000001</v>
      </c>
      <c r="CK8">
        <v>0.1147</v>
      </c>
      <c r="CL8">
        <v>0.111</v>
      </c>
    </row>
    <row r="9" spans="3:90" ht="15">
      <c r="C9" s="23" t="s">
        <v>201</v>
      </c>
      <c r="O9" s="2"/>
      <c r="AD9">
        <v>5</v>
      </c>
      <c r="AE9">
        <v>0.52</v>
      </c>
      <c r="AF9">
        <v>0.49</v>
      </c>
      <c r="AG9">
        <v>0.47</v>
      </c>
      <c r="AH9">
        <v>0.44</v>
      </c>
      <c r="AI9">
        <v>0.41</v>
      </c>
      <c r="AJ9">
        <v>0.38</v>
      </c>
      <c r="AK9">
        <v>0.35</v>
      </c>
      <c r="AL9">
        <v>0.31</v>
      </c>
      <c r="AM9">
        <v>0.28</v>
      </c>
      <c r="AN9">
        <v>0.24</v>
      </c>
      <c r="AO9">
        <v>0.2</v>
      </c>
      <c r="AP9">
        <v>0.16</v>
      </c>
      <c r="AQ9">
        <v>0.12</v>
      </c>
      <c r="AR9">
        <v>0.07</v>
      </c>
      <c r="AS9">
        <v>0.03</v>
      </c>
      <c r="BD9">
        <v>4</v>
      </c>
      <c r="BE9">
        <v>0.96</v>
      </c>
      <c r="BF9">
        <v>0.92</v>
      </c>
      <c r="BG9">
        <v>0.89</v>
      </c>
      <c r="BH9">
        <v>0.85</v>
      </c>
      <c r="BI9">
        <v>0.82</v>
      </c>
      <c r="BJ9">
        <v>0.79</v>
      </c>
      <c r="BK9">
        <v>0.76</v>
      </c>
      <c r="BL9">
        <v>0.74</v>
      </c>
      <c r="BM9">
        <v>0.71</v>
      </c>
      <c r="BN9">
        <v>0.68</v>
      </c>
      <c r="BO9">
        <v>0.66</v>
      </c>
      <c r="BP9">
        <v>0.64</v>
      </c>
      <c r="BQ9">
        <v>0.61</v>
      </c>
      <c r="BR9">
        <v>0.59</v>
      </c>
      <c r="BU9">
        <v>8.5</v>
      </c>
      <c r="BV9">
        <v>1.0466</v>
      </c>
      <c r="BW9">
        <v>0.5455</v>
      </c>
      <c r="BX9">
        <v>0.3788</v>
      </c>
      <c r="BY9">
        <v>0.2958</v>
      </c>
      <c r="BZ9">
        <v>0.2462</v>
      </c>
      <c r="CA9">
        <v>0.2133</v>
      </c>
      <c r="CB9">
        <v>0.19</v>
      </c>
      <c r="CC9">
        <v>0.1727</v>
      </c>
      <c r="CD9">
        <v>8.5</v>
      </c>
      <c r="CE9">
        <v>0.1594</v>
      </c>
      <c r="CF9">
        <v>0.1488</v>
      </c>
      <c r="CG9">
        <v>0.1402</v>
      </c>
      <c r="CH9">
        <v>0.1332</v>
      </c>
      <c r="CI9">
        <v>0.1273</v>
      </c>
      <c r="CJ9">
        <v>0.1224</v>
      </c>
      <c r="CK9">
        <v>0.1182</v>
      </c>
      <c r="CL9">
        <v>0.1145</v>
      </c>
    </row>
    <row r="10" spans="4:90" ht="15">
      <c r="D10" t="s">
        <v>28</v>
      </c>
      <c r="AD10">
        <v>6</v>
      </c>
      <c r="AE10">
        <v>0.58</v>
      </c>
      <c r="AF10">
        <v>0.56</v>
      </c>
      <c r="AG10">
        <v>0.53</v>
      </c>
      <c r="AH10">
        <v>0.5</v>
      </c>
      <c r="AI10">
        <v>0.47</v>
      </c>
      <c r="AJ10">
        <v>0.43</v>
      </c>
      <c r="AK10">
        <v>0.4</v>
      </c>
      <c r="AL10">
        <v>0.36</v>
      </c>
      <c r="AM10">
        <v>0.33</v>
      </c>
      <c r="AN10">
        <v>0.28</v>
      </c>
      <c r="AO10">
        <v>0.24</v>
      </c>
      <c r="AP10">
        <v>0.19</v>
      </c>
      <c r="AQ10">
        <v>0.14</v>
      </c>
      <c r="AR10">
        <v>0.09</v>
      </c>
      <c r="AS10">
        <v>0.03</v>
      </c>
      <c r="BD10">
        <v>5</v>
      </c>
      <c r="BE10">
        <v>0.95</v>
      </c>
      <c r="BF10">
        <v>0.91</v>
      </c>
      <c r="BG10">
        <v>0.86</v>
      </c>
      <c r="BH10">
        <v>0.82</v>
      </c>
      <c r="BI10">
        <v>0.78</v>
      </c>
      <c r="BJ10">
        <v>0.75</v>
      </c>
      <c r="BK10">
        <v>0.71</v>
      </c>
      <c r="BL10">
        <v>0.68</v>
      </c>
      <c r="BM10">
        <v>0.65</v>
      </c>
      <c r="BN10">
        <v>0.62</v>
      </c>
      <c r="BO10">
        <v>0.59</v>
      </c>
      <c r="BP10">
        <v>0.57</v>
      </c>
      <c r="BQ10">
        <v>0.54</v>
      </c>
      <c r="BR10">
        <v>0.52</v>
      </c>
      <c r="BU10">
        <v>9</v>
      </c>
      <c r="BV10">
        <v>1.0494</v>
      </c>
      <c r="BW10">
        <v>0.5482</v>
      </c>
      <c r="BX10">
        <v>0.3816</v>
      </c>
      <c r="BY10">
        <v>0.2986</v>
      </c>
      <c r="BZ10">
        <v>0.2491</v>
      </c>
      <c r="CA10">
        <v>0.2163</v>
      </c>
      <c r="CB10">
        <v>0.1931</v>
      </c>
      <c r="CC10">
        <v>0.1758</v>
      </c>
      <c r="CD10">
        <v>9</v>
      </c>
      <c r="CE10">
        <v>0.1625</v>
      </c>
      <c r="CF10">
        <v>0.152</v>
      </c>
      <c r="CG10">
        <v>0.14350000000000002</v>
      </c>
      <c r="CH10">
        <v>0.1366</v>
      </c>
      <c r="CI10">
        <v>0.1308</v>
      </c>
      <c r="CJ10">
        <v>0.1259</v>
      </c>
      <c r="CK10">
        <v>0.1217</v>
      </c>
      <c r="CL10">
        <v>0.1181</v>
      </c>
    </row>
    <row r="11" spans="4:90" ht="15">
      <c r="D11" s="23" t="s">
        <v>284</v>
      </c>
      <c r="J11" s="26" t="s">
        <v>29</v>
      </c>
      <c r="K11" s="19"/>
      <c r="L11" s="19"/>
      <c r="M11" s="19"/>
      <c r="N11" s="19"/>
      <c r="AD11">
        <v>7</v>
      </c>
      <c r="AE11">
        <v>0.64</v>
      </c>
      <c r="AF11">
        <v>0.61</v>
      </c>
      <c r="AG11">
        <v>0.58</v>
      </c>
      <c r="AH11">
        <v>0.55</v>
      </c>
      <c r="AI11">
        <v>0.52</v>
      </c>
      <c r="AJ11">
        <v>0.49</v>
      </c>
      <c r="AK11">
        <v>0.45</v>
      </c>
      <c r="AL11">
        <v>0.41</v>
      </c>
      <c r="AM11">
        <v>0.37</v>
      </c>
      <c r="AN11">
        <v>0.32</v>
      </c>
      <c r="AO11">
        <v>0.27</v>
      </c>
      <c r="AP11">
        <v>0.22</v>
      </c>
      <c r="AQ11">
        <v>0.16</v>
      </c>
      <c r="AR11">
        <v>0.1</v>
      </c>
      <c r="AS11">
        <v>0.04</v>
      </c>
      <c r="BD11">
        <v>6</v>
      </c>
      <c r="BE11">
        <v>0.94</v>
      </c>
      <c r="BF11">
        <v>0.89</v>
      </c>
      <c r="BG11">
        <v>0.84</v>
      </c>
      <c r="BH11">
        <v>0.79</v>
      </c>
      <c r="BI11">
        <v>0.75</v>
      </c>
      <c r="BJ11">
        <v>0.7</v>
      </c>
      <c r="BK11">
        <v>0.67</v>
      </c>
      <c r="BL11">
        <v>0.63</v>
      </c>
      <c r="BM11">
        <v>0.6</v>
      </c>
      <c r="BN11">
        <v>0.56</v>
      </c>
      <c r="BO11">
        <v>0.53</v>
      </c>
      <c r="BP11">
        <v>0.51</v>
      </c>
      <c r="BQ11">
        <v>0.48</v>
      </c>
      <c r="BR11">
        <v>0.46</v>
      </c>
      <c r="BU11">
        <v>9.5</v>
      </c>
      <c r="BV11">
        <v>1.0522</v>
      </c>
      <c r="BW11">
        <v>0.551</v>
      </c>
      <c r="BX11">
        <v>0.3844</v>
      </c>
      <c r="BY11">
        <v>0.3015</v>
      </c>
      <c r="BZ11">
        <v>0.252</v>
      </c>
      <c r="CA11">
        <v>0.2193</v>
      </c>
      <c r="CB11">
        <v>0.1961</v>
      </c>
      <c r="CC11">
        <v>0.1789</v>
      </c>
      <c r="CD11">
        <v>9.5</v>
      </c>
      <c r="CE11">
        <v>0.1657</v>
      </c>
      <c r="CF11">
        <v>0.1553</v>
      </c>
      <c r="CG11">
        <v>0.1469</v>
      </c>
      <c r="CH11">
        <v>0.14</v>
      </c>
      <c r="CI11">
        <v>0.1342</v>
      </c>
      <c r="CJ11">
        <v>0.1294</v>
      </c>
      <c r="CK11">
        <v>0.1253</v>
      </c>
      <c r="CL11">
        <v>0.1218</v>
      </c>
    </row>
    <row r="12" spans="10:90" ht="15">
      <c r="J12" s="20" t="s">
        <v>30</v>
      </c>
      <c r="K12" s="19"/>
      <c r="L12" s="19"/>
      <c r="M12" s="19"/>
      <c r="N12" s="19"/>
      <c r="AD12">
        <v>8</v>
      </c>
      <c r="AE12">
        <v>0.69</v>
      </c>
      <c r="AF12">
        <v>0.66</v>
      </c>
      <c r="AG12">
        <v>0.63</v>
      </c>
      <c r="AH12">
        <v>0.6</v>
      </c>
      <c r="AI12">
        <v>0.57</v>
      </c>
      <c r="AJ12">
        <v>0.53</v>
      </c>
      <c r="AK12">
        <v>0.49</v>
      </c>
      <c r="AL12">
        <v>0.45</v>
      </c>
      <c r="AM12">
        <v>0.41</v>
      </c>
      <c r="AN12">
        <v>0.36</v>
      </c>
      <c r="AO12">
        <v>0.3</v>
      </c>
      <c r="AP12">
        <v>0.25</v>
      </c>
      <c r="AQ12">
        <v>0.18</v>
      </c>
      <c r="AR12">
        <v>0.12</v>
      </c>
      <c r="AS12">
        <v>0.04</v>
      </c>
      <c r="BD12">
        <v>7</v>
      </c>
      <c r="BE12">
        <v>0.93</v>
      </c>
      <c r="BF12">
        <v>0.87</v>
      </c>
      <c r="BG12">
        <v>0.81</v>
      </c>
      <c r="BH12">
        <v>0.76</v>
      </c>
      <c r="BI12">
        <v>0.71</v>
      </c>
      <c r="BJ12">
        <v>0.67</v>
      </c>
      <c r="BK12">
        <v>0.62</v>
      </c>
      <c r="BL12">
        <v>0.58</v>
      </c>
      <c r="BM12">
        <v>0.55</v>
      </c>
      <c r="BN12">
        <v>0.51</v>
      </c>
      <c r="BO12">
        <v>0.48</v>
      </c>
      <c r="BP12">
        <v>0.45</v>
      </c>
      <c r="BQ12">
        <v>0.43</v>
      </c>
      <c r="BR12">
        <v>0.4</v>
      </c>
      <c r="BU12">
        <v>10</v>
      </c>
      <c r="BV12">
        <v>1.055</v>
      </c>
      <c r="BW12">
        <v>0.5537</v>
      </c>
      <c r="BX12">
        <v>0.3872</v>
      </c>
      <c r="BY12">
        <v>0.3044</v>
      </c>
      <c r="BZ12">
        <v>0.255</v>
      </c>
      <c r="CA12">
        <v>0.2223</v>
      </c>
      <c r="CB12">
        <v>0.1992</v>
      </c>
      <c r="CC12">
        <v>0.1821</v>
      </c>
      <c r="CD12">
        <v>10</v>
      </c>
      <c r="CE12">
        <v>0.1689</v>
      </c>
      <c r="CF12">
        <v>0.1586</v>
      </c>
      <c r="CG12">
        <v>0.1502</v>
      </c>
      <c r="CH12">
        <v>0.1434</v>
      </c>
      <c r="CI12">
        <v>0.1377</v>
      </c>
      <c r="CJ12">
        <v>0.133</v>
      </c>
      <c r="CK12">
        <v>0.129</v>
      </c>
      <c r="CL12">
        <v>0.1255</v>
      </c>
    </row>
    <row r="13" spans="2:90" ht="15">
      <c r="B13" t="s">
        <v>31</v>
      </c>
      <c r="J13" s="19"/>
      <c r="K13" s="19"/>
      <c r="L13" s="19"/>
      <c r="M13" s="19"/>
      <c r="N13" s="19"/>
      <c r="AD13">
        <v>9</v>
      </c>
      <c r="AE13">
        <v>0.73</v>
      </c>
      <c r="AF13">
        <v>0.7</v>
      </c>
      <c r="AG13">
        <v>0.68</v>
      </c>
      <c r="AH13">
        <v>0.64</v>
      </c>
      <c r="AI13">
        <v>0.61</v>
      </c>
      <c r="AJ13">
        <v>0.57</v>
      </c>
      <c r="AK13">
        <v>0.53</v>
      </c>
      <c r="AL13">
        <v>0.49</v>
      </c>
      <c r="AM13">
        <v>0.44</v>
      </c>
      <c r="AN13">
        <v>0.39</v>
      </c>
      <c r="AO13">
        <v>0.33</v>
      </c>
      <c r="AP13">
        <v>0.27</v>
      </c>
      <c r="AQ13">
        <v>0.2</v>
      </c>
      <c r="AR13">
        <v>0.13</v>
      </c>
      <c r="AS13">
        <v>0.05</v>
      </c>
      <c r="BD13">
        <v>8</v>
      </c>
      <c r="BE13">
        <v>0.92</v>
      </c>
      <c r="BF13">
        <v>0.85</v>
      </c>
      <c r="BG13">
        <v>0.79</v>
      </c>
      <c r="BH13">
        <v>0.73</v>
      </c>
      <c r="BI13">
        <v>0.68</v>
      </c>
      <c r="BJ13">
        <v>0.63</v>
      </c>
      <c r="BK13">
        <v>0.58</v>
      </c>
      <c r="BL13">
        <v>0.54</v>
      </c>
      <c r="BM13">
        <v>0.5</v>
      </c>
      <c r="BN13">
        <v>0.47</v>
      </c>
      <c r="BO13">
        <v>0.43</v>
      </c>
      <c r="BP13">
        <v>0.4</v>
      </c>
      <c r="BQ13">
        <v>0.38</v>
      </c>
      <c r="BR13">
        <v>0.35</v>
      </c>
      <c r="BU13">
        <v>10.5</v>
      </c>
      <c r="BV13">
        <v>1.0578</v>
      </c>
      <c r="BW13">
        <v>0.5565</v>
      </c>
      <c r="BX13">
        <v>0.39</v>
      </c>
      <c r="BY13">
        <v>0.3072</v>
      </c>
      <c r="BZ13">
        <v>0.2579</v>
      </c>
      <c r="CA13">
        <v>0.2253</v>
      </c>
      <c r="CB13">
        <v>0.2023</v>
      </c>
      <c r="CC13">
        <v>0.1853</v>
      </c>
      <c r="CD13">
        <v>10.5</v>
      </c>
      <c r="CE13">
        <v>0.1722</v>
      </c>
      <c r="CF13">
        <v>0.1619</v>
      </c>
      <c r="CG13">
        <v>0.1537</v>
      </c>
      <c r="CH13">
        <v>0.1469</v>
      </c>
      <c r="CI13">
        <v>0.1413</v>
      </c>
      <c r="CJ13">
        <v>0.1366</v>
      </c>
      <c r="CK13">
        <v>0.1326</v>
      </c>
      <c r="CL13">
        <v>0.1293</v>
      </c>
    </row>
    <row r="14" spans="10:90" ht="15">
      <c r="J14" s="19"/>
      <c r="K14" s="19"/>
      <c r="L14" s="19" t="s">
        <v>32</v>
      </c>
      <c r="M14" s="19"/>
      <c r="N14" s="19"/>
      <c r="AD14">
        <v>10</v>
      </c>
      <c r="AE14">
        <v>0.76</v>
      </c>
      <c r="AF14">
        <v>0.74</v>
      </c>
      <c r="AG14">
        <v>0.71</v>
      </c>
      <c r="AH14">
        <v>0.68</v>
      </c>
      <c r="AI14">
        <v>0.65</v>
      </c>
      <c r="AJ14">
        <v>0.61</v>
      </c>
      <c r="AK14">
        <v>0.57</v>
      </c>
      <c r="AL14">
        <v>0.53</v>
      </c>
      <c r="AM14">
        <v>0.48</v>
      </c>
      <c r="AN14">
        <v>0.42</v>
      </c>
      <c r="AO14">
        <v>0.36</v>
      </c>
      <c r="AP14">
        <v>0.3</v>
      </c>
      <c r="AQ14">
        <v>0.22</v>
      </c>
      <c r="AR14">
        <v>0.14</v>
      </c>
      <c r="AS14">
        <v>0.05</v>
      </c>
      <c r="BD14">
        <v>9</v>
      </c>
      <c r="BE14">
        <v>0.91</v>
      </c>
      <c r="BF14">
        <v>0.84</v>
      </c>
      <c r="BG14">
        <v>0.77</v>
      </c>
      <c r="BH14">
        <v>0.7</v>
      </c>
      <c r="BI14">
        <v>0.64</v>
      </c>
      <c r="BJ14">
        <v>0.59</v>
      </c>
      <c r="BK14">
        <v>0.54</v>
      </c>
      <c r="BL14">
        <v>0.5</v>
      </c>
      <c r="BM14">
        <v>0.46</v>
      </c>
      <c r="BN14">
        <v>0.42</v>
      </c>
      <c r="BO14">
        <v>0.39</v>
      </c>
      <c r="BP14">
        <v>0.36</v>
      </c>
      <c r="BQ14">
        <v>0.33</v>
      </c>
      <c r="BR14">
        <v>0.31</v>
      </c>
      <c r="BU14">
        <v>11</v>
      </c>
      <c r="BV14">
        <v>1.0606</v>
      </c>
      <c r="BW14">
        <v>0.5593</v>
      </c>
      <c r="BX14">
        <v>0.3929</v>
      </c>
      <c r="BY14">
        <v>0.3101</v>
      </c>
      <c r="BZ14">
        <v>0.2609</v>
      </c>
      <c r="CA14">
        <v>0.2284</v>
      </c>
      <c r="CB14">
        <v>0.20550000000000002</v>
      </c>
      <c r="CC14">
        <v>0.1885</v>
      </c>
      <c r="CD14">
        <v>11</v>
      </c>
      <c r="CE14">
        <v>0.17550000000000002</v>
      </c>
      <c r="CF14">
        <v>0.1653</v>
      </c>
      <c r="CG14">
        <v>0.1571</v>
      </c>
      <c r="CH14">
        <v>0.1504</v>
      </c>
      <c r="CI14">
        <v>0.1449</v>
      </c>
      <c r="CJ14">
        <v>0.1403</v>
      </c>
      <c r="CK14">
        <v>0.1364</v>
      </c>
      <c r="CL14">
        <v>0.1331</v>
      </c>
    </row>
    <row r="15" spans="10:90" ht="15">
      <c r="J15" s="19"/>
      <c r="K15" s="19"/>
      <c r="L15" s="19"/>
      <c r="M15" s="19"/>
      <c r="N15" s="19"/>
      <c r="Q15" t="s">
        <v>6</v>
      </c>
      <c r="AD15">
        <v>11</v>
      </c>
      <c r="AE15">
        <v>0.8</v>
      </c>
      <c r="AF15">
        <v>0.77</v>
      </c>
      <c r="AG15">
        <v>0.75</v>
      </c>
      <c r="AH15">
        <v>0.72</v>
      </c>
      <c r="AI15">
        <v>0.68</v>
      </c>
      <c r="AJ15">
        <v>0.65</v>
      </c>
      <c r="AK15">
        <v>0.61</v>
      </c>
      <c r="AL15">
        <v>0.56</v>
      </c>
      <c r="AM15">
        <v>0.51</v>
      </c>
      <c r="AN15">
        <v>0.45</v>
      </c>
      <c r="AO15">
        <v>0.39</v>
      </c>
      <c r="AP15">
        <v>0.32</v>
      </c>
      <c r="AQ15">
        <v>0.24</v>
      </c>
      <c r="AR15">
        <v>0.15</v>
      </c>
      <c r="AS15">
        <v>0.06</v>
      </c>
      <c r="BD15">
        <v>10</v>
      </c>
      <c r="BE15">
        <v>0.91</v>
      </c>
      <c r="BF15">
        <v>0.82</v>
      </c>
      <c r="BG15">
        <v>0.74</v>
      </c>
      <c r="BH15">
        <v>0.68</v>
      </c>
      <c r="BI15">
        <v>0.61</v>
      </c>
      <c r="BJ15">
        <v>0.56</v>
      </c>
      <c r="BK15">
        <v>0.51</v>
      </c>
      <c r="BL15">
        <v>0.46</v>
      </c>
      <c r="BM15">
        <v>0.42</v>
      </c>
      <c r="BN15">
        <v>0.39</v>
      </c>
      <c r="BO15">
        <v>0.35</v>
      </c>
      <c r="BP15">
        <v>0.32</v>
      </c>
      <c r="BQ15">
        <v>0.29</v>
      </c>
      <c r="BR15">
        <v>0.27</v>
      </c>
      <c r="BU15">
        <v>11.5</v>
      </c>
      <c r="BV15">
        <v>1.0634</v>
      </c>
      <c r="BW15">
        <v>0.5621</v>
      </c>
      <c r="BX15">
        <v>0.3957</v>
      </c>
      <c r="BY15">
        <v>0.3131</v>
      </c>
      <c r="BZ15">
        <v>0.2639</v>
      </c>
      <c r="CA15">
        <v>0.2315</v>
      </c>
      <c r="CB15">
        <v>0.2086</v>
      </c>
      <c r="CC15">
        <v>0.1918</v>
      </c>
      <c r="CD15">
        <v>11.5</v>
      </c>
      <c r="CE15">
        <v>0.1788</v>
      </c>
      <c r="CF15">
        <v>0.1687</v>
      </c>
      <c r="CG15">
        <v>0.1606</v>
      </c>
      <c r="CH15">
        <v>0.154</v>
      </c>
      <c r="CI15">
        <v>0.1486</v>
      </c>
      <c r="CJ15">
        <v>0.14400000000000002</v>
      </c>
      <c r="CK15">
        <v>0.1402</v>
      </c>
      <c r="CL15">
        <v>0.1369</v>
      </c>
    </row>
    <row r="16" spans="10:90" ht="15">
      <c r="J16" s="19" t="s">
        <v>33</v>
      </c>
      <c r="K16" s="19"/>
      <c r="L16" s="19"/>
      <c r="M16" s="19" t="s">
        <v>34</v>
      </c>
      <c r="N16" s="19">
        <v>1</v>
      </c>
      <c r="O16">
        <v>2</v>
      </c>
      <c r="P16">
        <v>3</v>
      </c>
      <c r="Q16">
        <v>4</v>
      </c>
      <c r="R16">
        <v>5</v>
      </c>
      <c r="S16">
        <v>6</v>
      </c>
      <c r="T16">
        <v>7</v>
      </c>
      <c r="U16">
        <v>8</v>
      </c>
      <c r="V16">
        <v>9</v>
      </c>
      <c r="W16">
        <v>10</v>
      </c>
      <c r="X16">
        <v>11</v>
      </c>
      <c r="Y16">
        <v>12</v>
      </c>
      <c r="Z16">
        <v>13</v>
      </c>
      <c r="AA16">
        <v>14</v>
      </c>
      <c r="AB16">
        <v>15</v>
      </c>
      <c r="AD16">
        <v>12</v>
      </c>
      <c r="AE16">
        <v>0.82</v>
      </c>
      <c r="AF16">
        <v>0.8</v>
      </c>
      <c r="AG16">
        <v>0.78</v>
      </c>
      <c r="AH16">
        <v>0.75</v>
      </c>
      <c r="AI16">
        <v>0.72</v>
      </c>
      <c r="AJ16">
        <v>0.68</v>
      </c>
      <c r="AK16">
        <v>0.64</v>
      </c>
      <c r="AL16">
        <v>0.59</v>
      </c>
      <c r="AM16">
        <v>0.54</v>
      </c>
      <c r="AN16">
        <v>0.48</v>
      </c>
      <c r="AO16">
        <v>0.42</v>
      </c>
      <c r="AP16">
        <v>0.34</v>
      </c>
      <c r="AQ16">
        <v>0.26</v>
      </c>
      <c r="AR16">
        <v>0.17</v>
      </c>
      <c r="AS16">
        <v>0.06</v>
      </c>
      <c r="BD16">
        <v>11</v>
      </c>
      <c r="BE16">
        <v>0.9</v>
      </c>
      <c r="BF16">
        <v>0.8</v>
      </c>
      <c r="BG16">
        <v>0.72</v>
      </c>
      <c r="BH16">
        <v>0.65</v>
      </c>
      <c r="BI16">
        <v>0.58</v>
      </c>
      <c r="BJ16">
        <v>0.53</v>
      </c>
      <c r="BK16">
        <v>0.48</v>
      </c>
      <c r="BL16">
        <v>0.43</v>
      </c>
      <c r="BM16">
        <v>0.39</v>
      </c>
      <c r="BN16">
        <v>0.35</v>
      </c>
      <c r="BO16">
        <v>0.32</v>
      </c>
      <c r="BP16">
        <v>0.29</v>
      </c>
      <c r="BQ16">
        <v>0.26</v>
      </c>
      <c r="BR16">
        <v>0.24</v>
      </c>
      <c r="BU16">
        <v>12</v>
      </c>
      <c r="BV16">
        <v>1.0662</v>
      </c>
      <c r="BW16">
        <v>0.5649</v>
      </c>
      <c r="BX16">
        <v>0.3986</v>
      </c>
      <c r="BY16">
        <v>0.316</v>
      </c>
      <c r="BZ16">
        <v>0.2669</v>
      </c>
      <c r="CA16">
        <v>0.2346</v>
      </c>
      <c r="CB16">
        <v>0.2118</v>
      </c>
      <c r="CC16">
        <v>0.195</v>
      </c>
      <c r="CD16">
        <v>12</v>
      </c>
      <c r="CE16">
        <v>0.1822</v>
      </c>
      <c r="CF16">
        <v>0.1722</v>
      </c>
      <c r="CG16">
        <v>0.1641</v>
      </c>
      <c r="CH16">
        <v>0.1576</v>
      </c>
      <c r="CI16">
        <v>0.1522</v>
      </c>
      <c r="CJ16">
        <v>0.1478</v>
      </c>
      <c r="CK16">
        <v>0.14400000000000002</v>
      </c>
      <c r="CL16">
        <v>0.1408</v>
      </c>
    </row>
    <row r="17" spans="10:90" ht="15">
      <c r="J17" s="19"/>
      <c r="K17" s="19"/>
      <c r="L17" s="19"/>
      <c r="M17" s="19"/>
      <c r="N17" s="19"/>
      <c r="AD17">
        <v>13</v>
      </c>
      <c r="AE17">
        <v>0.85</v>
      </c>
      <c r="AF17">
        <v>0.83</v>
      </c>
      <c r="AG17">
        <v>0.8</v>
      </c>
      <c r="AH17">
        <v>0.78</v>
      </c>
      <c r="AI17">
        <v>0.74</v>
      </c>
      <c r="AJ17">
        <v>0.71</v>
      </c>
      <c r="AK17">
        <v>0.67</v>
      </c>
      <c r="AL17">
        <v>0.62</v>
      </c>
      <c r="AM17">
        <v>0.57</v>
      </c>
      <c r="AN17">
        <v>0.51</v>
      </c>
      <c r="AO17">
        <v>0.44</v>
      </c>
      <c r="AP17">
        <v>0.37</v>
      </c>
      <c r="AQ17">
        <v>0.28</v>
      </c>
      <c r="AR17">
        <v>0.18</v>
      </c>
      <c r="AS17">
        <v>0.07</v>
      </c>
      <c r="BD17">
        <v>12</v>
      </c>
      <c r="BE17">
        <v>0.89</v>
      </c>
      <c r="BF17">
        <v>0.79</v>
      </c>
      <c r="BG17">
        <v>0.7</v>
      </c>
      <c r="BH17">
        <v>0.62</v>
      </c>
      <c r="BI17">
        <v>0.56</v>
      </c>
      <c r="BJ17">
        <v>0.5</v>
      </c>
      <c r="BK17">
        <v>0.44</v>
      </c>
      <c r="BL17">
        <v>0.4</v>
      </c>
      <c r="BM17">
        <v>0.36</v>
      </c>
      <c r="BN17">
        <v>0.32</v>
      </c>
      <c r="BO17">
        <v>0.29</v>
      </c>
      <c r="BP17">
        <v>0.26</v>
      </c>
      <c r="BQ17">
        <v>0.23</v>
      </c>
      <c r="BR17">
        <v>0.21</v>
      </c>
      <c r="BU17">
        <v>12.5</v>
      </c>
      <c r="BV17">
        <v>1.069</v>
      </c>
      <c r="BW17">
        <v>0.5677</v>
      </c>
      <c r="BX17">
        <v>0.4014</v>
      </c>
      <c r="BY17">
        <v>0.319</v>
      </c>
      <c r="BZ17">
        <v>0.27</v>
      </c>
      <c r="CA17">
        <v>0.2377</v>
      </c>
      <c r="CB17">
        <v>0.2151</v>
      </c>
      <c r="CC17">
        <v>0.1983</v>
      </c>
      <c r="CD17">
        <v>12.5</v>
      </c>
      <c r="CE17">
        <v>0.1856</v>
      </c>
      <c r="CF17">
        <v>0.1757</v>
      </c>
      <c r="CG17">
        <v>0.1677</v>
      </c>
      <c r="CH17">
        <v>0.1613</v>
      </c>
      <c r="CI17">
        <v>0.156</v>
      </c>
      <c r="CJ17">
        <v>0.1516</v>
      </c>
      <c r="CK17">
        <v>0.1479</v>
      </c>
      <c r="CL17">
        <v>0.1448</v>
      </c>
    </row>
    <row r="18" spans="10:90" ht="15">
      <c r="J18" s="19" t="s">
        <v>35</v>
      </c>
      <c r="K18" s="19"/>
      <c r="L18" s="19"/>
      <c r="M18" s="21">
        <f>B25</f>
        <v>22000</v>
      </c>
      <c r="N18" s="21">
        <f>B26</f>
        <v>20000</v>
      </c>
      <c r="O18" s="4">
        <f>B27</f>
        <v>20000</v>
      </c>
      <c r="P18" s="4">
        <f>B28</f>
        <v>20000</v>
      </c>
      <c r="Q18" s="4">
        <f>B29</f>
        <v>18000</v>
      </c>
      <c r="R18" s="4">
        <f>B30</f>
        <v>0</v>
      </c>
      <c r="S18" s="4">
        <f>B31</f>
        <v>0</v>
      </c>
      <c r="T18" s="4">
        <f>B32</f>
        <v>0</v>
      </c>
      <c r="U18" s="4">
        <f>B33</f>
        <v>0</v>
      </c>
      <c r="V18" s="4">
        <f>B34</f>
        <v>0</v>
      </c>
      <c r="W18" s="4">
        <f>B35</f>
        <v>0</v>
      </c>
      <c r="X18" s="4">
        <f>B36</f>
        <v>0</v>
      </c>
      <c r="Y18" s="4">
        <f>B37</f>
        <v>0</v>
      </c>
      <c r="Z18" s="4">
        <f>B38</f>
        <v>0</v>
      </c>
      <c r="AA18" s="4">
        <f>B39</f>
        <v>0</v>
      </c>
      <c r="AB18" s="4">
        <f>B40</f>
        <v>0</v>
      </c>
      <c r="AD18">
        <v>14</v>
      </c>
      <c r="AE18">
        <v>0.87</v>
      </c>
      <c r="AF18">
        <v>0.85</v>
      </c>
      <c r="AG18">
        <v>0.83</v>
      </c>
      <c r="AH18">
        <v>0.8</v>
      </c>
      <c r="AI18">
        <v>0.77</v>
      </c>
      <c r="AJ18">
        <v>0.73</v>
      </c>
      <c r="AK18">
        <v>0.7</v>
      </c>
      <c r="AL18">
        <v>0.65</v>
      </c>
      <c r="AM18">
        <v>0.6</v>
      </c>
      <c r="AN18">
        <v>0.54</v>
      </c>
      <c r="AO18">
        <v>0.47</v>
      </c>
      <c r="AP18">
        <v>0.39</v>
      </c>
      <c r="AQ18">
        <v>0.3</v>
      </c>
      <c r="AR18">
        <v>0.19</v>
      </c>
      <c r="AS18">
        <v>0.07</v>
      </c>
      <c r="BD18">
        <v>13</v>
      </c>
      <c r="BE18">
        <v>0.88</v>
      </c>
      <c r="BF18">
        <v>0.77</v>
      </c>
      <c r="BG18">
        <v>0.68</v>
      </c>
      <c r="BH18">
        <v>0.6</v>
      </c>
      <c r="BI18">
        <v>0.53</v>
      </c>
      <c r="BJ18">
        <v>0.47</v>
      </c>
      <c r="BK18">
        <v>0.41</v>
      </c>
      <c r="BL18">
        <v>0.37</v>
      </c>
      <c r="BM18">
        <v>0.33</v>
      </c>
      <c r="BN18">
        <v>0.29</v>
      </c>
      <c r="BO18">
        <v>0.26</v>
      </c>
      <c r="BP18">
        <v>0.23</v>
      </c>
      <c r="BQ18">
        <v>0.2</v>
      </c>
      <c r="BR18">
        <v>0.18</v>
      </c>
      <c r="BU18">
        <v>13</v>
      </c>
      <c r="BV18">
        <v>1.0718</v>
      </c>
      <c r="BW18">
        <v>0.5705</v>
      </c>
      <c r="BX18">
        <v>0.4043</v>
      </c>
      <c r="BY18">
        <v>0.3219</v>
      </c>
      <c r="BZ18">
        <v>0.273</v>
      </c>
      <c r="CA18">
        <v>0.2409</v>
      </c>
      <c r="CB18">
        <v>0.2183</v>
      </c>
      <c r="CC18">
        <v>0.2017</v>
      </c>
      <c r="CD18">
        <v>13</v>
      </c>
      <c r="CE18">
        <v>0.189</v>
      </c>
      <c r="CF18">
        <v>0.1792</v>
      </c>
      <c r="CG18">
        <v>0.1713</v>
      </c>
      <c r="CH18">
        <v>0.165</v>
      </c>
      <c r="CI18">
        <v>0.1597</v>
      </c>
      <c r="CJ18">
        <v>0.1554</v>
      </c>
      <c r="CK18">
        <v>0.1518</v>
      </c>
      <c r="CL18">
        <v>0.1488</v>
      </c>
    </row>
    <row r="19" spans="10:90" ht="15" thickBot="1">
      <c r="J19" s="19" t="s">
        <v>37</v>
      </c>
      <c r="K19" s="19"/>
      <c r="L19" s="19"/>
      <c r="M19" s="22">
        <f>D25</f>
        <v>0</v>
      </c>
      <c r="N19" s="22">
        <f>D26</f>
        <v>0</v>
      </c>
      <c r="O19" s="5">
        <f>D27</f>
        <v>0</v>
      </c>
      <c r="P19" s="5">
        <f>D28</f>
        <v>0</v>
      </c>
      <c r="Q19" s="5">
        <f>D29</f>
        <v>0</v>
      </c>
      <c r="R19" s="5">
        <f>D30</f>
        <v>0</v>
      </c>
      <c r="S19" s="5">
        <f>D31</f>
        <v>0</v>
      </c>
      <c r="T19" s="5">
        <f>D32</f>
        <v>0</v>
      </c>
      <c r="U19" s="5">
        <f>D33</f>
        <v>0</v>
      </c>
      <c r="V19" s="5">
        <f>D34</f>
        <v>0</v>
      </c>
      <c r="W19" s="5">
        <f>D35</f>
        <v>0</v>
      </c>
      <c r="X19" s="5">
        <f>D36</f>
        <v>0</v>
      </c>
      <c r="Y19" s="5">
        <f>D37</f>
        <v>0</v>
      </c>
      <c r="Z19" s="5">
        <f>D38</f>
        <v>0</v>
      </c>
      <c r="AA19" s="5">
        <f>D39</f>
        <v>0</v>
      </c>
      <c r="AB19" s="5">
        <f>D40</f>
        <v>0</v>
      </c>
      <c r="AD19">
        <v>15</v>
      </c>
      <c r="AE19">
        <v>0.89</v>
      </c>
      <c r="AF19">
        <v>0.87</v>
      </c>
      <c r="AG19">
        <v>0.85</v>
      </c>
      <c r="AH19">
        <v>0.82</v>
      </c>
      <c r="AI19">
        <v>0.79</v>
      </c>
      <c r="AJ19">
        <v>0.76</v>
      </c>
      <c r="AK19">
        <v>0.72</v>
      </c>
      <c r="AL19">
        <v>0.67</v>
      </c>
      <c r="AM19">
        <v>0.62</v>
      </c>
      <c r="AN19">
        <v>0.56</v>
      </c>
      <c r="AO19">
        <v>0.49</v>
      </c>
      <c r="AP19">
        <v>0.41</v>
      </c>
      <c r="AQ19">
        <v>0.31</v>
      </c>
      <c r="AR19">
        <v>0.2</v>
      </c>
      <c r="AS19">
        <v>0.08</v>
      </c>
      <c r="BD19">
        <v>14</v>
      </c>
      <c r="BE19">
        <v>0.87</v>
      </c>
      <c r="BF19">
        <v>0.76</v>
      </c>
      <c r="BG19">
        <v>0.66</v>
      </c>
      <c r="BH19">
        <v>0.58</v>
      </c>
      <c r="BI19">
        <v>0.51</v>
      </c>
      <c r="BJ19">
        <v>0.44</v>
      </c>
      <c r="BK19">
        <v>0.39</v>
      </c>
      <c r="BL19">
        <v>0.34</v>
      </c>
      <c r="BM19">
        <v>0.3</v>
      </c>
      <c r="BN19">
        <v>0.26</v>
      </c>
      <c r="BO19">
        <v>0.23</v>
      </c>
      <c r="BP19">
        <v>0.2</v>
      </c>
      <c r="BQ19">
        <v>0.18</v>
      </c>
      <c r="BR19">
        <v>0.16</v>
      </c>
      <c r="BU19">
        <v>13.5</v>
      </c>
      <c r="BV19">
        <v>1.0746</v>
      </c>
      <c r="BW19">
        <v>0.5733</v>
      </c>
      <c r="BX19">
        <v>0.4072</v>
      </c>
      <c r="BY19">
        <v>0.3249</v>
      </c>
      <c r="BZ19">
        <v>0.2761</v>
      </c>
      <c r="CA19">
        <v>0.2441</v>
      </c>
      <c r="CB19">
        <v>0.2216</v>
      </c>
      <c r="CC19">
        <v>0.2051</v>
      </c>
      <c r="CD19">
        <v>13.5</v>
      </c>
      <c r="CE19">
        <v>0.1925</v>
      </c>
      <c r="CF19">
        <v>0.1827</v>
      </c>
      <c r="CG19">
        <v>0.175</v>
      </c>
      <c r="CH19">
        <v>0.1687</v>
      </c>
      <c r="CI19">
        <v>0.1636</v>
      </c>
      <c r="CJ19">
        <v>0.1593</v>
      </c>
      <c r="CK19">
        <v>0.1558</v>
      </c>
      <c r="CL19">
        <v>0.1528</v>
      </c>
    </row>
    <row r="20" spans="1:90" ht="18" thickBot="1">
      <c r="A20" s="25" t="s">
        <v>39</v>
      </c>
      <c r="E20" t="s">
        <v>40</v>
      </c>
      <c r="G20" s="28" t="s">
        <v>282</v>
      </c>
      <c r="H20" s="6"/>
      <c r="J20" s="19" t="s">
        <v>41</v>
      </c>
      <c r="K20" s="19"/>
      <c r="L20" s="19"/>
      <c r="M20" s="21">
        <f aca="true" t="shared" si="0" ref="M20:AB20">M18+M19</f>
        <v>22000</v>
      </c>
      <c r="N20" s="21">
        <f t="shared" si="0"/>
        <v>20000</v>
      </c>
      <c r="O20" s="4">
        <f t="shared" si="0"/>
        <v>20000</v>
      </c>
      <c r="P20" s="4">
        <f t="shared" si="0"/>
        <v>20000</v>
      </c>
      <c r="Q20" s="4">
        <f t="shared" si="0"/>
        <v>18000</v>
      </c>
      <c r="R20" s="4">
        <f t="shared" si="0"/>
        <v>0</v>
      </c>
      <c r="S20" s="4">
        <f t="shared" si="0"/>
        <v>0</v>
      </c>
      <c r="T20" s="4">
        <f t="shared" si="0"/>
        <v>0</v>
      </c>
      <c r="U20" s="4">
        <f t="shared" si="0"/>
        <v>0</v>
      </c>
      <c r="V20" s="4">
        <f t="shared" si="0"/>
        <v>0</v>
      </c>
      <c r="W20" s="4">
        <f t="shared" si="0"/>
        <v>0</v>
      </c>
      <c r="X20" s="4">
        <f t="shared" si="0"/>
        <v>0</v>
      </c>
      <c r="Y20" s="4">
        <f t="shared" si="0"/>
        <v>0</v>
      </c>
      <c r="Z20" s="4">
        <f t="shared" si="0"/>
        <v>0</v>
      </c>
      <c r="AA20" s="4">
        <f t="shared" si="0"/>
        <v>0</v>
      </c>
      <c r="AB20" s="4">
        <f t="shared" si="0"/>
        <v>0</v>
      </c>
      <c r="AD20">
        <v>16</v>
      </c>
      <c r="AE20">
        <v>0.9</v>
      </c>
      <c r="AF20">
        <v>0.88</v>
      </c>
      <c r="AG20">
        <v>0.86</v>
      </c>
      <c r="AH20">
        <v>0.84</v>
      </c>
      <c r="AI20">
        <v>0.81</v>
      </c>
      <c r="AJ20">
        <v>0.78</v>
      </c>
      <c r="AK20">
        <v>0.74</v>
      </c>
      <c r="AL20">
        <v>0.7</v>
      </c>
      <c r="AM20">
        <v>0.65</v>
      </c>
      <c r="AN20">
        <v>0.59</v>
      </c>
      <c r="AO20">
        <v>0.51</v>
      </c>
      <c r="AP20">
        <v>0.43</v>
      </c>
      <c r="AQ20">
        <v>0.33</v>
      </c>
      <c r="AR20">
        <v>0.22</v>
      </c>
      <c r="AS20">
        <v>0.08</v>
      </c>
      <c r="BD20">
        <v>15</v>
      </c>
      <c r="BE20">
        <v>0.86</v>
      </c>
      <c r="BF20">
        <v>0.74</v>
      </c>
      <c r="BG20">
        <v>0.64</v>
      </c>
      <c r="BH20">
        <v>0.56</v>
      </c>
      <c r="BI20">
        <v>0.48</v>
      </c>
      <c r="BJ20">
        <v>0.42</v>
      </c>
      <c r="BK20">
        <v>0.36</v>
      </c>
      <c r="BL20">
        <v>0.32</v>
      </c>
      <c r="BM20">
        <v>0.27</v>
      </c>
      <c r="BN20">
        <v>0.24</v>
      </c>
      <c r="BO20">
        <v>0.21</v>
      </c>
      <c r="BP20">
        <v>0.18</v>
      </c>
      <c r="BQ20">
        <v>0.16</v>
      </c>
      <c r="BR20">
        <v>0.14</v>
      </c>
      <c r="BU20">
        <v>14</v>
      </c>
      <c r="BV20">
        <v>1.0774</v>
      </c>
      <c r="BW20">
        <v>0.5762</v>
      </c>
      <c r="BX20">
        <v>0.4101</v>
      </c>
      <c r="BY20">
        <v>0.3279</v>
      </c>
      <c r="BZ20">
        <v>0.2792</v>
      </c>
      <c r="CA20">
        <v>0.2473</v>
      </c>
      <c r="CB20">
        <v>0.2249</v>
      </c>
      <c r="CC20">
        <v>0.2085</v>
      </c>
      <c r="CD20">
        <v>14</v>
      </c>
      <c r="CE20">
        <v>0.196</v>
      </c>
      <c r="CF20">
        <v>0.1863</v>
      </c>
      <c r="CG20">
        <v>0.1786</v>
      </c>
      <c r="CH20">
        <v>0.1725</v>
      </c>
      <c r="CI20">
        <v>0.1674</v>
      </c>
      <c r="CJ20">
        <v>0.1633</v>
      </c>
      <c r="CK20">
        <v>0.1598</v>
      </c>
      <c r="CL20">
        <v>0.1569</v>
      </c>
    </row>
    <row r="21" spans="1:90" ht="15" thickBot="1">
      <c r="A21" s="24"/>
      <c r="E21" t="s">
        <v>43</v>
      </c>
      <c r="G21" s="36" t="s">
        <v>283</v>
      </c>
      <c r="H21" s="7"/>
      <c r="J21" s="19" t="s">
        <v>44</v>
      </c>
      <c r="K21" s="19"/>
      <c r="L21" s="19"/>
      <c r="M21" s="22">
        <f>AO101/100</f>
        <v>0.46</v>
      </c>
      <c r="N21" s="22">
        <f>$AO$101/100</f>
        <v>0.46</v>
      </c>
      <c r="O21" s="22">
        <f>$AO$102/100</f>
        <v>0.34</v>
      </c>
      <c r="P21" s="22">
        <f>$AO$103/100</f>
        <v>0.34</v>
      </c>
      <c r="Q21" s="22">
        <f>$AO$104/100</f>
        <v>0.34</v>
      </c>
      <c r="R21" s="22">
        <f>$AO$105/100</f>
        <v>0.34</v>
      </c>
      <c r="S21" s="22">
        <f>$AO$106/100</f>
        <v>0.34</v>
      </c>
      <c r="T21" s="22">
        <f>$AO$107/100</f>
        <v>0.34</v>
      </c>
      <c r="U21" s="22">
        <f>$AO$108/100</f>
        <v>0.34</v>
      </c>
      <c r="V21" s="22">
        <f>$AO$109/100</f>
        <v>0.34</v>
      </c>
      <c r="W21" s="22">
        <f>$AO$110/100</f>
        <v>0.34</v>
      </c>
      <c r="X21" s="22">
        <f>$AO$111/100</f>
        <v>0</v>
      </c>
      <c r="Y21" s="22">
        <f>$AO$112/100</f>
        <v>0</v>
      </c>
      <c r="Z21" s="22">
        <f>$AO$113/100</f>
        <v>0</v>
      </c>
      <c r="AA21" s="22">
        <f>$AO$114/100</f>
        <v>0</v>
      </c>
      <c r="AB21" s="22">
        <f>$AO$115/100</f>
        <v>0</v>
      </c>
      <c r="BD21">
        <v>16</v>
      </c>
      <c r="BE21">
        <v>0.85</v>
      </c>
      <c r="BF21">
        <v>0.73</v>
      </c>
      <c r="BG21">
        <v>0.62</v>
      </c>
      <c r="BH21">
        <v>0.53</v>
      </c>
      <c r="BI21">
        <v>0.46</v>
      </c>
      <c r="BJ21">
        <v>0.39</v>
      </c>
      <c r="BK21">
        <v>0.34</v>
      </c>
      <c r="BL21">
        <v>0.29</v>
      </c>
      <c r="BM21">
        <v>0.25</v>
      </c>
      <c r="BN21">
        <v>0.22</v>
      </c>
      <c r="BO21">
        <v>0.19</v>
      </c>
      <c r="BP21">
        <v>0.16</v>
      </c>
      <c r="BQ21">
        <v>0.14</v>
      </c>
      <c r="BR21">
        <v>0.12</v>
      </c>
      <c r="BU21">
        <v>14.5</v>
      </c>
      <c r="BV21">
        <v>1.0803</v>
      </c>
      <c r="BW21">
        <v>0.579</v>
      </c>
      <c r="BX21">
        <v>0.4131</v>
      </c>
      <c r="BY21">
        <v>0.3309</v>
      </c>
      <c r="BZ21">
        <v>0.2823</v>
      </c>
      <c r="CA21">
        <v>0.2505</v>
      </c>
      <c r="CB21">
        <v>0.2282</v>
      </c>
      <c r="CC21">
        <v>0.2119</v>
      </c>
      <c r="CD21">
        <v>14.5</v>
      </c>
      <c r="CE21">
        <v>0.1995</v>
      </c>
      <c r="CF21">
        <v>0.1899</v>
      </c>
      <c r="CG21">
        <v>0.1824</v>
      </c>
      <c r="CH21">
        <v>0.1763</v>
      </c>
      <c r="CI21">
        <v>0.1713</v>
      </c>
      <c r="CJ21">
        <v>0.1672</v>
      </c>
      <c r="CK21">
        <v>0.1639</v>
      </c>
      <c r="CL21">
        <v>0.161</v>
      </c>
    </row>
    <row r="22" spans="1:90" ht="15">
      <c r="A22" s="24"/>
      <c r="J22" s="19" t="s">
        <v>46</v>
      </c>
      <c r="K22" s="19"/>
      <c r="L22" s="19"/>
      <c r="M22" s="21">
        <f aca="true" t="shared" si="1" ref="M22:AB22">M20*M21</f>
        <v>10120</v>
      </c>
      <c r="N22" s="21">
        <f t="shared" si="1"/>
        <v>9200</v>
      </c>
      <c r="O22" s="4">
        <f t="shared" si="1"/>
        <v>6800.000000000001</v>
      </c>
      <c r="P22" s="4">
        <f t="shared" si="1"/>
        <v>6800.000000000001</v>
      </c>
      <c r="Q22" s="4">
        <f t="shared" si="1"/>
        <v>6120</v>
      </c>
      <c r="R22" s="4">
        <f t="shared" si="1"/>
        <v>0</v>
      </c>
      <c r="S22" s="4">
        <f t="shared" si="1"/>
        <v>0</v>
      </c>
      <c r="T22" s="4">
        <f t="shared" si="1"/>
        <v>0</v>
      </c>
      <c r="U22" s="4">
        <f t="shared" si="1"/>
        <v>0</v>
      </c>
      <c r="V22" s="4">
        <f t="shared" si="1"/>
        <v>0</v>
      </c>
      <c r="W22" s="4">
        <f t="shared" si="1"/>
        <v>0</v>
      </c>
      <c r="X22" s="4">
        <f t="shared" si="1"/>
        <v>0</v>
      </c>
      <c r="Y22" s="4">
        <f t="shared" si="1"/>
        <v>0</v>
      </c>
      <c r="Z22" s="4">
        <f t="shared" si="1"/>
        <v>0</v>
      </c>
      <c r="AA22" s="4">
        <f t="shared" si="1"/>
        <v>0</v>
      </c>
      <c r="AB22" s="4">
        <f t="shared" si="1"/>
        <v>0</v>
      </c>
      <c r="AJ22" t="s">
        <v>36</v>
      </c>
      <c r="BD22">
        <v>17</v>
      </c>
      <c r="BE22">
        <v>0.84</v>
      </c>
      <c r="BF22">
        <v>0.71</v>
      </c>
      <c r="BG22">
        <v>0.61</v>
      </c>
      <c r="BH22">
        <v>0.51</v>
      </c>
      <c r="BI22">
        <v>0.44</v>
      </c>
      <c r="BJ22">
        <v>0.37</v>
      </c>
      <c r="BK22">
        <v>0.32</v>
      </c>
      <c r="BL22">
        <v>0.27</v>
      </c>
      <c r="BM22">
        <v>0.23</v>
      </c>
      <c r="BN22">
        <v>0.2</v>
      </c>
      <c r="BO22">
        <v>0.17</v>
      </c>
      <c r="BP22">
        <v>0.15</v>
      </c>
      <c r="BQ22">
        <v>0.13</v>
      </c>
      <c r="BR22">
        <v>0.11</v>
      </c>
      <c r="BU22">
        <v>15</v>
      </c>
      <c r="BV22">
        <v>1.0831</v>
      </c>
      <c r="BW22">
        <v>0.5818</v>
      </c>
      <c r="BX22">
        <v>0.41600000000000004</v>
      </c>
      <c r="BY22">
        <v>0.334</v>
      </c>
      <c r="BZ22">
        <v>0.28550000000000003</v>
      </c>
      <c r="CA22">
        <v>0.2537</v>
      </c>
      <c r="CB22">
        <v>0.2316</v>
      </c>
      <c r="CC22">
        <v>0.2153</v>
      </c>
      <c r="CD22">
        <v>15</v>
      </c>
      <c r="CE22">
        <v>0.2031</v>
      </c>
      <c r="CF22">
        <v>0.1936</v>
      </c>
      <c r="CG22">
        <v>0.1861</v>
      </c>
      <c r="CH22">
        <v>0.1801</v>
      </c>
      <c r="CI22">
        <v>0.1752</v>
      </c>
      <c r="CJ22">
        <v>0.1712</v>
      </c>
      <c r="CK22">
        <v>0.168</v>
      </c>
      <c r="CL22">
        <v>0.1652</v>
      </c>
    </row>
    <row r="23" spans="1:70" ht="15">
      <c r="A23" s="24"/>
      <c r="B23" t="s">
        <v>48</v>
      </c>
      <c r="D23" t="s">
        <v>49</v>
      </c>
      <c r="G23" t="s">
        <v>50</v>
      </c>
      <c r="J23" s="19" t="s">
        <v>51</v>
      </c>
      <c r="K23" s="19"/>
      <c r="L23" s="19"/>
      <c r="M23" s="21">
        <f aca="true" t="shared" si="2" ref="M23:AB23">M20-M22</f>
        <v>11880</v>
      </c>
      <c r="N23" s="21">
        <f t="shared" si="2"/>
        <v>10800</v>
      </c>
      <c r="O23" s="4">
        <f t="shared" si="2"/>
        <v>13200</v>
      </c>
      <c r="P23" s="4">
        <f t="shared" si="2"/>
        <v>13200</v>
      </c>
      <c r="Q23" s="4">
        <f t="shared" si="2"/>
        <v>11880</v>
      </c>
      <c r="R23" s="4">
        <f t="shared" si="2"/>
        <v>0</v>
      </c>
      <c r="S23" s="4">
        <f t="shared" si="2"/>
        <v>0</v>
      </c>
      <c r="T23" s="4">
        <f t="shared" si="2"/>
        <v>0</v>
      </c>
      <c r="U23" s="4">
        <f t="shared" si="2"/>
        <v>0</v>
      </c>
      <c r="V23" s="4">
        <f t="shared" si="2"/>
        <v>0</v>
      </c>
      <c r="W23" s="4">
        <f t="shared" si="2"/>
        <v>0</v>
      </c>
      <c r="X23" s="4">
        <f t="shared" si="2"/>
        <v>0</v>
      </c>
      <c r="Y23" s="4">
        <f t="shared" si="2"/>
        <v>0</v>
      </c>
      <c r="Z23" s="4">
        <f t="shared" si="2"/>
        <v>0</v>
      </c>
      <c r="AA23" s="4">
        <f t="shared" si="2"/>
        <v>0</v>
      </c>
      <c r="AB23" s="4">
        <f t="shared" si="2"/>
        <v>0</v>
      </c>
      <c r="AJ23" t="s">
        <v>38</v>
      </c>
      <c r="BD23">
        <v>18</v>
      </c>
      <c r="BE23">
        <v>0.84</v>
      </c>
      <c r="BF23">
        <v>0.7</v>
      </c>
      <c r="BG23">
        <v>0.59</v>
      </c>
      <c r="BH23">
        <v>0.49</v>
      </c>
      <c r="BI23">
        <v>0.42</v>
      </c>
      <c r="BJ23">
        <v>0.35</v>
      </c>
      <c r="BK23">
        <v>0.3</v>
      </c>
      <c r="BL23">
        <v>0.25</v>
      </c>
      <c r="BM23">
        <v>0.21</v>
      </c>
      <c r="BN23">
        <v>0.18</v>
      </c>
      <c r="BO23">
        <v>0.15</v>
      </c>
      <c r="BP23">
        <v>0.13</v>
      </c>
      <c r="BQ23">
        <v>0.11</v>
      </c>
      <c r="BR23">
        <v>0.09</v>
      </c>
    </row>
    <row r="24" spans="1:83" ht="15" thickBot="1">
      <c r="A24" s="24" t="s">
        <v>6</v>
      </c>
      <c r="B24" s="8" t="s">
        <v>52</v>
      </c>
      <c r="D24" s="8" t="s">
        <v>53</v>
      </c>
      <c r="G24" s="8" t="s">
        <v>54</v>
      </c>
      <c r="J24" t="s">
        <v>55</v>
      </c>
      <c r="M24" s="5">
        <f>E48</f>
        <v>0</v>
      </c>
      <c r="N24" s="5">
        <f aca="true" t="shared" si="3" ref="N24:AB24">IF(AND($G$55&lt;=N16+0.005,$G$55&gt;=N16-0.005),-$E$48,0)</f>
        <v>0</v>
      </c>
      <c r="O24" s="5">
        <f t="shared" si="3"/>
        <v>0</v>
      </c>
      <c r="P24" s="5">
        <f t="shared" si="3"/>
        <v>0</v>
      </c>
      <c r="Q24" s="5">
        <f t="shared" si="3"/>
        <v>0</v>
      </c>
      <c r="R24" s="5">
        <f t="shared" si="3"/>
        <v>0</v>
      </c>
      <c r="S24" s="5">
        <f t="shared" si="3"/>
        <v>0</v>
      </c>
      <c r="T24" s="5">
        <f t="shared" si="3"/>
        <v>0</v>
      </c>
      <c r="U24" s="5">
        <f t="shared" si="3"/>
        <v>0</v>
      </c>
      <c r="V24" s="5">
        <f t="shared" si="3"/>
        <v>0</v>
      </c>
      <c r="W24" s="5">
        <f t="shared" si="3"/>
        <v>0</v>
      </c>
      <c r="X24" s="5">
        <f t="shared" si="3"/>
        <v>0</v>
      </c>
      <c r="Y24" s="5">
        <f t="shared" si="3"/>
        <v>0</v>
      </c>
      <c r="Z24" s="5">
        <f t="shared" si="3"/>
        <v>0</v>
      </c>
      <c r="AA24" s="5">
        <f t="shared" si="3"/>
        <v>0</v>
      </c>
      <c r="AB24" s="5">
        <f t="shared" si="3"/>
        <v>0</v>
      </c>
      <c r="AJ24" t="s">
        <v>42</v>
      </c>
      <c r="BD24">
        <v>19</v>
      </c>
      <c r="BE24">
        <v>0.83</v>
      </c>
      <c r="BF24">
        <v>0.69</v>
      </c>
      <c r="BG24">
        <v>0.57</v>
      </c>
      <c r="BH24">
        <v>0.47</v>
      </c>
      <c r="BI24">
        <v>0.4</v>
      </c>
      <c r="BJ24">
        <v>0.33</v>
      </c>
      <c r="BK24">
        <v>0.28</v>
      </c>
      <c r="BL24">
        <v>0.23</v>
      </c>
      <c r="BM24">
        <v>0.19</v>
      </c>
      <c r="BN24">
        <v>0.16</v>
      </c>
      <c r="BO24">
        <v>0.14</v>
      </c>
      <c r="BP24">
        <v>0.12</v>
      </c>
      <c r="BQ24">
        <v>0.1</v>
      </c>
      <c r="BR24">
        <v>0.08</v>
      </c>
      <c r="CE24" t="s">
        <v>56</v>
      </c>
    </row>
    <row r="25" spans="1:83" ht="15" thickBot="1">
      <c r="A25" s="24" t="s">
        <v>57</v>
      </c>
      <c r="B25" s="28">
        <v>22000</v>
      </c>
      <c r="D25" s="28"/>
      <c r="G25" s="28"/>
      <c r="J25" t="s">
        <v>58</v>
      </c>
      <c r="M25" s="4">
        <f aca="true" t="shared" si="4" ref="M25:AB25">M23+M24</f>
        <v>11880</v>
      </c>
      <c r="N25" s="4">
        <f t="shared" si="4"/>
        <v>10800</v>
      </c>
      <c r="O25" s="4">
        <f t="shared" si="4"/>
        <v>13200</v>
      </c>
      <c r="P25" s="4">
        <f t="shared" si="4"/>
        <v>13200</v>
      </c>
      <c r="Q25" s="4">
        <f t="shared" si="4"/>
        <v>11880</v>
      </c>
      <c r="R25" s="4">
        <f t="shared" si="4"/>
        <v>0</v>
      </c>
      <c r="S25" s="4">
        <f t="shared" si="4"/>
        <v>0</v>
      </c>
      <c r="T25" s="4">
        <f t="shared" si="4"/>
        <v>0</v>
      </c>
      <c r="U25" s="4">
        <f t="shared" si="4"/>
        <v>0</v>
      </c>
      <c r="V25" s="4">
        <f t="shared" si="4"/>
        <v>0</v>
      </c>
      <c r="W25" s="4">
        <f t="shared" si="4"/>
        <v>0</v>
      </c>
      <c r="X25" s="4">
        <f t="shared" si="4"/>
        <v>0</v>
      </c>
      <c r="Y25" s="4">
        <f t="shared" si="4"/>
        <v>0</v>
      </c>
      <c r="Z25" s="4">
        <f t="shared" si="4"/>
        <v>0</v>
      </c>
      <c r="AA25" s="4">
        <f t="shared" si="4"/>
        <v>0</v>
      </c>
      <c r="AB25" s="4">
        <f t="shared" si="4"/>
        <v>0</v>
      </c>
      <c r="AJ25" t="s">
        <v>45</v>
      </c>
      <c r="BD25">
        <v>20</v>
      </c>
      <c r="BE25">
        <v>0.82</v>
      </c>
      <c r="BF25">
        <v>0.67</v>
      </c>
      <c r="BG25">
        <v>0.55</v>
      </c>
      <c r="BH25">
        <v>0.46</v>
      </c>
      <c r="BI25">
        <v>0.38</v>
      </c>
      <c r="BJ25">
        <v>0.31</v>
      </c>
      <c r="BK25">
        <v>0.26</v>
      </c>
      <c r="BL25">
        <v>0.21</v>
      </c>
      <c r="BM25">
        <v>0.18</v>
      </c>
      <c r="BN25">
        <v>0.15</v>
      </c>
      <c r="BO25">
        <v>0.12</v>
      </c>
      <c r="BP25">
        <v>0.1</v>
      </c>
      <c r="BQ25">
        <v>0.09</v>
      </c>
      <c r="BR25">
        <v>0.07</v>
      </c>
      <c r="CE25" t="s">
        <v>59</v>
      </c>
    </row>
    <row r="26" spans="1:83" ht="15" thickBot="1">
      <c r="A26" s="24">
        <v>1</v>
      </c>
      <c r="B26" s="28">
        <v>20000</v>
      </c>
      <c r="D26" s="28"/>
      <c r="G26" s="28"/>
      <c r="J26" t="s">
        <v>60</v>
      </c>
      <c r="M26" s="5">
        <v>1</v>
      </c>
      <c r="N26" s="5">
        <f>$AQ$124</f>
        <v>0.96</v>
      </c>
      <c r="O26" s="5">
        <f>$AQ$125</f>
        <v>0.91</v>
      </c>
      <c r="P26" s="5">
        <f>$AQ$126</f>
        <v>0.86</v>
      </c>
      <c r="Q26" s="5">
        <f>$AQ$127</f>
        <v>0.81</v>
      </c>
      <c r="R26" s="5">
        <f>$AQ$128</f>
        <v>0.77</v>
      </c>
      <c r="S26" s="5">
        <f>$AQ$129</f>
        <v>0.73</v>
      </c>
      <c r="T26" s="5">
        <f>$AQ$130</f>
        <v>0.69</v>
      </c>
      <c r="U26" s="5">
        <f>$AQ$131</f>
        <v>0.65</v>
      </c>
      <c r="V26" s="5">
        <f>$AQ$132</f>
        <v>0.62</v>
      </c>
      <c r="W26" s="5">
        <f>$AQ$133</f>
        <v>0.59</v>
      </c>
      <c r="X26" s="5">
        <f>$AQ$134</f>
        <v>0.59</v>
      </c>
      <c r="Y26" s="5">
        <f>$AQ$135</f>
        <v>0.59</v>
      </c>
      <c r="Z26" s="5">
        <f>$AQ$136</f>
        <v>0.59</v>
      </c>
      <c r="AA26" s="5">
        <f>$AQ$137</f>
        <v>0.59</v>
      </c>
      <c r="AB26" s="5">
        <f>$AQ$138</f>
        <v>0.59</v>
      </c>
      <c r="AJ26" t="s">
        <v>47</v>
      </c>
      <c r="CE26" t="s">
        <v>61</v>
      </c>
    </row>
    <row r="27" spans="1:28" ht="15" thickBot="1">
      <c r="A27" s="24">
        <v>2</v>
      </c>
      <c r="B27" s="28">
        <v>20000</v>
      </c>
      <c r="D27" s="28"/>
      <c r="G27" s="28"/>
      <c r="J27" t="s">
        <v>62</v>
      </c>
      <c r="M27" s="9">
        <f aca="true" t="shared" si="5" ref="M27:AB27">M25*M26</f>
        <v>11880</v>
      </c>
      <c r="N27" s="9">
        <f t="shared" si="5"/>
        <v>10368</v>
      </c>
      <c r="O27" s="9">
        <f t="shared" si="5"/>
        <v>12012</v>
      </c>
      <c r="P27" s="9">
        <f t="shared" si="5"/>
        <v>11352</v>
      </c>
      <c r="Q27" s="9">
        <f t="shared" si="5"/>
        <v>9622.800000000001</v>
      </c>
      <c r="R27" s="9">
        <f t="shared" si="5"/>
        <v>0</v>
      </c>
      <c r="S27" s="9">
        <f t="shared" si="5"/>
        <v>0</v>
      </c>
      <c r="T27" s="9">
        <f t="shared" si="5"/>
        <v>0</v>
      </c>
      <c r="U27" s="9">
        <f t="shared" si="5"/>
        <v>0</v>
      </c>
      <c r="V27" s="9">
        <f t="shared" si="5"/>
        <v>0</v>
      </c>
      <c r="W27" s="9">
        <f t="shared" si="5"/>
        <v>0</v>
      </c>
      <c r="X27" s="9">
        <f t="shared" si="5"/>
        <v>0</v>
      </c>
      <c r="Y27" s="9">
        <f t="shared" si="5"/>
        <v>0</v>
      </c>
      <c r="Z27" s="9">
        <f t="shared" si="5"/>
        <v>0</v>
      </c>
      <c r="AA27" s="9">
        <f t="shared" si="5"/>
        <v>0</v>
      </c>
      <c r="AB27" s="9">
        <f t="shared" si="5"/>
        <v>0</v>
      </c>
    </row>
    <row r="28" spans="1:28" ht="15" thickBot="1">
      <c r="A28" s="24">
        <v>3</v>
      </c>
      <c r="B28" s="28">
        <v>20000</v>
      </c>
      <c r="D28" s="28"/>
      <c r="G28" s="28"/>
      <c r="J28" t="s">
        <v>63</v>
      </c>
      <c r="M28" s="10"/>
      <c r="N28" s="8"/>
      <c r="O28" s="11">
        <f>SUM(M27:AB27)</f>
        <v>55234.8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7" ht="15" thickBot="1">
      <c r="A29" s="24">
        <v>4</v>
      </c>
      <c r="B29" s="28">
        <v>18000</v>
      </c>
      <c r="D29" s="28"/>
      <c r="G29" s="28"/>
    </row>
    <row r="30" spans="1:75" ht="15" thickBot="1">
      <c r="A30" s="24">
        <v>5</v>
      </c>
      <c r="B30" s="28">
        <v>0</v>
      </c>
      <c r="D30" s="28"/>
      <c r="G30" s="28"/>
      <c r="BW30" t="s">
        <v>64</v>
      </c>
    </row>
    <row r="31" spans="1:75" ht="15" thickBot="1">
      <c r="A31" s="24">
        <v>6</v>
      </c>
      <c r="B31" s="28"/>
      <c r="D31" s="28"/>
      <c r="G31" s="28"/>
      <c r="J31" t="s">
        <v>262</v>
      </c>
      <c r="K31" t="s">
        <v>262</v>
      </c>
      <c r="BW31" t="s">
        <v>3</v>
      </c>
    </row>
    <row r="32" spans="1:7" ht="15" thickBot="1">
      <c r="A32" s="24">
        <v>7</v>
      </c>
      <c r="B32" s="28"/>
      <c r="D32" s="28"/>
      <c r="G32" s="28"/>
    </row>
    <row r="33" spans="1:85" ht="15" thickBot="1">
      <c r="A33" s="24">
        <v>8</v>
      </c>
      <c r="B33" s="28"/>
      <c r="D33" s="28"/>
      <c r="G33" s="28"/>
      <c r="L33" t="s">
        <v>65</v>
      </c>
      <c r="BU33" t="s">
        <v>7</v>
      </c>
      <c r="BX33" t="s">
        <v>8</v>
      </c>
      <c r="CD33" t="s">
        <v>7</v>
      </c>
      <c r="CG33" t="s">
        <v>8</v>
      </c>
    </row>
    <row r="34" spans="1:90" ht="15" thickBot="1">
      <c r="A34" s="24">
        <v>9</v>
      </c>
      <c r="B34" s="28"/>
      <c r="D34" s="28"/>
      <c r="G34" s="28"/>
      <c r="Q34" t="s">
        <v>6</v>
      </c>
      <c r="BU34" t="s">
        <v>24</v>
      </c>
      <c r="BV34">
        <v>1</v>
      </c>
      <c r="BW34">
        <v>2</v>
      </c>
      <c r="BX34">
        <v>3</v>
      </c>
      <c r="BY34">
        <v>4</v>
      </c>
      <c r="BZ34">
        <v>5</v>
      </c>
      <c r="CA34">
        <v>6</v>
      </c>
      <c r="CB34">
        <v>7</v>
      </c>
      <c r="CC34">
        <v>8</v>
      </c>
      <c r="CD34" t="s">
        <v>24</v>
      </c>
      <c r="CE34">
        <v>9</v>
      </c>
      <c r="CF34">
        <v>10</v>
      </c>
      <c r="CG34">
        <v>11</v>
      </c>
      <c r="CH34">
        <v>12</v>
      </c>
      <c r="CI34">
        <v>13</v>
      </c>
      <c r="CJ34">
        <v>14</v>
      </c>
      <c r="CK34">
        <v>15</v>
      </c>
      <c r="CL34">
        <v>16</v>
      </c>
    </row>
    <row r="35" spans="1:28" ht="15" thickBot="1">
      <c r="A35" s="24">
        <v>10</v>
      </c>
      <c r="B35" s="28"/>
      <c r="D35" s="28"/>
      <c r="G35" s="28"/>
      <c r="J35" t="s">
        <v>33</v>
      </c>
      <c r="M35" t="s">
        <v>66</v>
      </c>
      <c r="N35">
        <v>1</v>
      </c>
      <c r="O35">
        <v>2</v>
      </c>
      <c r="P35">
        <v>3</v>
      </c>
      <c r="Q35">
        <v>4</v>
      </c>
      <c r="R35">
        <v>5</v>
      </c>
      <c r="S35">
        <v>6</v>
      </c>
      <c r="T35">
        <v>7</v>
      </c>
      <c r="U35">
        <v>8</v>
      </c>
      <c r="V35">
        <v>9</v>
      </c>
      <c r="W35">
        <v>10</v>
      </c>
      <c r="X35">
        <v>11</v>
      </c>
      <c r="Y35">
        <v>12</v>
      </c>
      <c r="Z35">
        <v>13</v>
      </c>
      <c r="AA35">
        <v>14</v>
      </c>
      <c r="AB35">
        <v>15</v>
      </c>
    </row>
    <row r="36" spans="1:90" ht="15" thickBot="1">
      <c r="A36" s="24">
        <v>11</v>
      </c>
      <c r="B36" s="28"/>
      <c r="D36" s="28"/>
      <c r="G36" s="28"/>
      <c r="BU36">
        <v>7.5</v>
      </c>
      <c r="BV36">
        <v>1.075</v>
      </c>
      <c r="BW36">
        <v>0.5569</v>
      </c>
      <c r="BX36">
        <v>0.3845</v>
      </c>
      <c r="BY36">
        <v>0.2986</v>
      </c>
      <c r="BZ36">
        <v>0.2472</v>
      </c>
      <c r="CA36">
        <v>0.213</v>
      </c>
      <c r="CB36">
        <v>0.1888</v>
      </c>
      <c r="CC36">
        <v>0.1707</v>
      </c>
      <c r="CD36">
        <v>7.5</v>
      </c>
      <c r="CE36">
        <v>0.1568</v>
      </c>
      <c r="CF36">
        <v>0.1457</v>
      </c>
      <c r="CG36">
        <v>0.1367</v>
      </c>
      <c r="CH36">
        <v>0.1293</v>
      </c>
      <c r="CI36">
        <v>0.1231</v>
      </c>
      <c r="CJ36">
        <v>0.1178</v>
      </c>
      <c r="CK36">
        <v>0.1133</v>
      </c>
      <c r="CL36">
        <v>0.1094</v>
      </c>
    </row>
    <row r="37" spans="1:90" ht="15" thickBot="1">
      <c r="A37" s="24">
        <v>12</v>
      </c>
      <c r="B37" s="28"/>
      <c r="D37" s="28"/>
      <c r="G37" s="28"/>
      <c r="J37" t="s">
        <v>67</v>
      </c>
      <c r="M37" s="4">
        <f>E45</f>
        <v>0</v>
      </c>
      <c r="N37" s="9">
        <f aca="true" t="shared" si="6" ref="N37:AB37">IF(N35&lt;=MINA($G$70,$BK$151),(IF($D$76&lt;&gt;0,(PMT($BK$152/100/$BK$153,$BK$151*$BK$153,-($E$46-$E$45))*$BK$153),AU173*($E$46-$E$45))),0)</f>
        <v>27839.23420237693</v>
      </c>
      <c r="O37" s="9">
        <f t="shared" si="6"/>
        <v>28385.960778010885</v>
      </c>
      <c r="P37" s="9">
        <f t="shared" si="6"/>
        <v>28808.17600151947</v>
      </c>
      <c r="Q37" s="9">
        <f t="shared" si="6"/>
        <v>29099.555905033012</v>
      </c>
      <c r="R37" s="9">
        <f t="shared" si="6"/>
        <v>29099.555905032954</v>
      </c>
      <c r="S37" s="9">
        <f t="shared" si="6"/>
        <v>0</v>
      </c>
      <c r="T37" s="9">
        <f t="shared" si="6"/>
        <v>0</v>
      </c>
      <c r="U37" s="9">
        <f t="shared" si="6"/>
        <v>0</v>
      </c>
      <c r="V37" s="9">
        <f t="shared" si="6"/>
        <v>0</v>
      </c>
      <c r="W37" s="9">
        <f t="shared" si="6"/>
        <v>0</v>
      </c>
      <c r="X37" s="9">
        <f t="shared" si="6"/>
        <v>0</v>
      </c>
      <c r="Y37" s="9">
        <f t="shared" si="6"/>
        <v>0</v>
      </c>
      <c r="Z37" s="9">
        <f t="shared" si="6"/>
        <v>0</v>
      </c>
      <c r="AA37" s="9">
        <f t="shared" si="6"/>
        <v>0</v>
      </c>
      <c r="AB37" s="9">
        <f t="shared" si="6"/>
        <v>0</v>
      </c>
      <c r="BU37">
        <v>8</v>
      </c>
      <c r="BV37">
        <v>1.08</v>
      </c>
      <c r="BW37">
        <v>0.5608</v>
      </c>
      <c r="BX37">
        <v>0.388</v>
      </c>
      <c r="BY37">
        <v>0.3019</v>
      </c>
      <c r="BZ37">
        <v>0.2505</v>
      </c>
      <c r="CA37">
        <v>0.2163</v>
      </c>
      <c r="CB37">
        <v>0.1921</v>
      </c>
      <c r="CC37">
        <v>0.17400000000000002</v>
      </c>
      <c r="CD37">
        <v>8</v>
      </c>
      <c r="CE37">
        <v>0.1601</v>
      </c>
      <c r="CF37">
        <v>0.149</v>
      </c>
      <c r="CG37">
        <v>0.1401</v>
      </c>
      <c r="CH37">
        <v>0.1327</v>
      </c>
      <c r="CI37">
        <v>0.1265</v>
      </c>
      <c r="CJ37">
        <v>0.1213</v>
      </c>
      <c r="CK37">
        <v>0.1168</v>
      </c>
      <c r="CL37">
        <v>0.113</v>
      </c>
    </row>
    <row r="38" spans="1:90" ht="15" thickBot="1">
      <c r="A38" s="24">
        <v>13</v>
      </c>
      <c r="B38" s="28"/>
      <c r="D38" s="28"/>
      <c r="G38" s="28"/>
      <c r="J38" t="s">
        <v>68</v>
      </c>
      <c r="M38" s="5"/>
      <c r="N38" s="5">
        <f>IF($BK$151&lt;N35,0,IF($D$76&lt;&gt;0,(IF($BK$153&lt;1.5,HLOOKUP(15-$BK$151+1,$AE$45:$AN$58,$AC$38-7+1),HLOOKUP(15-$BK$151+1,$AE$7:$AS$20,$AC$38-3+1))),AU174))</f>
        <v>0.23789641930786276</v>
      </c>
      <c r="O38" s="5">
        <f aca="true" t="shared" si="7" ref="O38:AB38">IF($BK$151&lt;O35,0,IF($D$76&lt;&gt;0,(IF($BK$153&lt;1.5,HLOOKUP(15+N35-$BK$151+1,$AE$45:$AN$58,$AC$38-7+1),HLOOKUP(15+N35-$BK$151+1,$AE$7:$AS$20,$AC$38-3+1))),AV174))</f>
        <v>0.21885525387572546</v>
      </c>
      <c r="P38" s="5">
        <f t="shared" si="7"/>
        <v>0.18322817479605666</v>
      </c>
      <c r="Q38" s="5">
        <f t="shared" si="7"/>
        <v>0.1288138779740523</v>
      </c>
      <c r="R38" s="5">
        <f t="shared" si="7"/>
        <v>0.04709061057278268</v>
      </c>
      <c r="S38" s="5">
        <f t="shared" si="7"/>
        <v>0</v>
      </c>
      <c r="T38" s="5">
        <f t="shared" si="7"/>
        <v>0</v>
      </c>
      <c r="U38" s="5">
        <f t="shared" si="7"/>
        <v>0</v>
      </c>
      <c r="V38" s="5">
        <f t="shared" si="7"/>
        <v>0</v>
      </c>
      <c r="W38" s="5">
        <f t="shared" si="7"/>
        <v>0</v>
      </c>
      <c r="X38" s="5">
        <f t="shared" si="7"/>
        <v>0</v>
      </c>
      <c r="Y38" s="5">
        <f t="shared" si="7"/>
        <v>0</v>
      </c>
      <c r="Z38" s="5">
        <f t="shared" si="7"/>
        <v>0</v>
      </c>
      <c r="AA38" s="5">
        <f t="shared" si="7"/>
        <v>0</v>
      </c>
      <c r="AB38" s="5">
        <f t="shared" si="7"/>
        <v>0</v>
      </c>
      <c r="AC38">
        <f>IF(BK152&lt;4,4,BK152)</f>
        <v>6</v>
      </c>
      <c r="BU38">
        <v>8.5</v>
      </c>
      <c r="BV38">
        <v>1.085</v>
      </c>
      <c r="BW38">
        <v>0.5646</v>
      </c>
      <c r="BX38">
        <v>0.3915</v>
      </c>
      <c r="BY38">
        <v>0.3053</v>
      </c>
      <c r="BZ38">
        <v>0.2538</v>
      </c>
      <c r="CA38">
        <v>0.2196</v>
      </c>
      <c r="CB38">
        <v>0.1954</v>
      </c>
      <c r="CC38">
        <v>0.1773</v>
      </c>
      <c r="CD38">
        <v>8.5</v>
      </c>
      <c r="CE38">
        <v>0.1634</v>
      </c>
      <c r="CF38">
        <v>0.1524</v>
      </c>
      <c r="CG38">
        <v>0.14350000000000002</v>
      </c>
      <c r="CH38">
        <v>0.1362</v>
      </c>
      <c r="CI38">
        <v>0.13</v>
      </c>
      <c r="CJ38">
        <v>0.1248</v>
      </c>
      <c r="CK38">
        <v>0.1204</v>
      </c>
      <c r="CL38">
        <v>0.1166</v>
      </c>
    </row>
    <row r="39" spans="1:90" ht="15" thickBot="1">
      <c r="A39" s="24">
        <v>14</v>
      </c>
      <c r="B39" s="28"/>
      <c r="D39" s="28"/>
      <c r="G39" s="28"/>
      <c r="J39" t="s">
        <v>69</v>
      </c>
      <c r="M39" s="4"/>
      <c r="N39" s="9">
        <f aca="true" t="shared" si="8" ref="N39:AB39">TRUNC(ROUND(+N37*N38,0))</f>
        <v>6623</v>
      </c>
      <c r="O39" s="9">
        <f t="shared" si="8"/>
        <v>6212</v>
      </c>
      <c r="P39" s="9">
        <f t="shared" si="8"/>
        <v>5278</v>
      </c>
      <c r="Q39" s="9">
        <f t="shared" si="8"/>
        <v>3748</v>
      </c>
      <c r="R39" s="9">
        <f t="shared" si="8"/>
        <v>1370</v>
      </c>
      <c r="S39" s="9">
        <f t="shared" si="8"/>
        <v>0</v>
      </c>
      <c r="T39" s="9">
        <f t="shared" si="8"/>
        <v>0</v>
      </c>
      <c r="U39" s="9">
        <f t="shared" si="8"/>
        <v>0</v>
      </c>
      <c r="V39" s="9">
        <f t="shared" si="8"/>
        <v>0</v>
      </c>
      <c r="W39" s="9">
        <f t="shared" si="8"/>
        <v>0</v>
      </c>
      <c r="X39" s="9">
        <f t="shared" si="8"/>
        <v>0</v>
      </c>
      <c r="Y39" s="9">
        <f t="shared" si="8"/>
        <v>0</v>
      </c>
      <c r="Z39" s="9">
        <f t="shared" si="8"/>
        <v>0</v>
      </c>
      <c r="AA39" s="9">
        <f t="shared" si="8"/>
        <v>0</v>
      </c>
      <c r="AB39" s="9">
        <f t="shared" si="8"/>
        <v>0</v>
      </c>
      <c r="BU39">
        <v>9</v>
      </c>
      <c r="BV39">
        <v>1.09</v>
      </c>
      <c r="BW39">
        <v>0.5685</v>
      </c>
      <c r="BX39">
        <v>0.3951</v>
      </c>
      <c r="BY39">
        <v>0.3087</v>
      </c>
      <c r="BZ39">
        <v>0.2571</v>
      </c>
      <c r="CA39">
        <v>0.2229</v>
      </c>
      <c r="CB39">
        <v>0.1987</v>
      </c>
      <c r="CC39">
        <v>0.1807</v>
      </c>
      <c r="CD39">
        <v>9</v>
      </c>
      <c r="CE39">
        <v>0.1668</v>
      </c>
      <c r="CF39">
        <v>0.1558</v>
      </c>
      <c r="CG39">
        <v>0.1469</v>
      </c>
      <c r="CH39">
        <v>0.1397</v>
      </c>
      <c r="CI39">
        <v>0.1336</v>
      </c>
      <c r="CJ39">
        <v>0.1284</v>
      </c>
      <c r="CK39">
        <v>0.1241</v>
      </c>
      <c r="CL39">
        <v>0.1203</v>
      </c>
    </row>
    <row r="40" spans="1:90" ht="15" thickBot="1">
      <c r="A40" s="24">
        <v>15</v>
      </c>
      <c r="B40" s="28"/>
      <c r="D40" s="28"/>
      <c r="G40" s="28"/>
      <c r="J40" t="s">
        <v>70</v>
      </c>
      <c r="M40" s="4"/>
      <c r="N40" s="4">
        <f>IF(N35&lt;=MINA($G$70,$BK$151),(HLOOKUP($E$43,$BE$43:$BJ$58,N35+1)/100*MAXA($E$46-$H$44,0))+MINA($H$44,$E$46),0)</f>
        <v>12852.000000000002</v>
      </c>
      <c r="O40" s="4">
        <f aca="true" t="shared" si="9" ref="O40:AB40">IF(O35&lt;=MINA($G$70,$BK$151),HLOOKUP($E$43,$BE$43:$BJ$58,O35+1)/100*MAXA($E$46-$H$44,0),0)</f>
        <v>22956</v>
      </c>
      <c r="P40" s="4">
        <f t="shared" si="9"/>
        <v>18036</v>
      </c>
      <c r="Q40" s="4">
        <f t="shared" si="9"/>
        <v>14700</v>
      </c>
      <c r="R40" s="4">
        <f t="shared" si="9"/>
        <v>14700</v>
      </c>
      <c r="S40" s="4">
        <f t="shared" si="9"/>
        <v>0</v>
      </c>
      <c r="T40" s="4">
        <f t="shared" si="9"/>
        <v>0</v>
      </c>
      <c r="U40" s="4">
        <f t="shared" si="9"/>
        <v>0</v>
      </c>
      <c r="V40" s="4">
        <f t="shared" si="9"/>
        <v>0</v>
      </c>
      <c r="W40" s="4">
        <f t="shared" si="9"/>
        <v>0</v>
      </c>
      <c r="X40" s="4">
        <f t="shared" si="9"/>
        <v>0</v>
      </c>
      <c r="Y40" s="4">
        <f t="shared" si="9"/>
        <v>0</v>
      </c>
      <c r="Z40" s="4">
        <f t="shared" si="9"/>
        <v>0</v>
      </c>
      <c r="AA40" s="4">
        <f t="shared" si="9"/>
        <v>0</v>
      </c>
      <c r="AB40" s="4">
        <f t="shared" si="9"/>
        <v>0</v>
      </c>
      <c r="AE40" t="s">
        <v>71</v>
      </c>
      <c r="BF40" t="s">
        <v>72</v>
      </c>
      <c r="BU40">
        <v>9.5</v>
      </c>
      <c r="BV40">
        <v>1.095</v>
      </c>
      <c r="BW40">
        <v>0.5723</v>
      </c>
      <c r="BX40">
        <v>0.3986</v>
      </c>
      <c r="BY40">
        <v>0.3121</v>
      </c>
      <c r="BZ40">
        <v>0.2604</v>
      </c>
      <c r="CA40">
        <v>0.2263</v>
      </c>
      <c r="CB40">
        <v>0.202</v>
      </c>
      <c r="CC40">
        <v>0.184</v>
      </c>
      <c r="CD40">
        <v>9.5</v>
      </c>
      <c r="CE40">
        <v>0.1702</v>
      </c>
      <c r="CF40">
        <v>0.1593</v>
      </c>
      <c r="CG40">
        <v>0.1504</v>
      </c>
      <c r="CH40">
        <v>0.1432</v>
      </c>
      <c r="CI40">
        <v>0.1372</v>
      </c>
      <c r="CJ40">
        <v>0.1321</v>
      </c>
      <c r="CK40">
        <v>0.1277</v>
      </c>
      <c r="CL40">
        <v>0.124</v>
      </c>
    </row>
    <row r="41" spans="1:90" ht="15" thickBot="1">
      <c r="A41" s="24"/>
      <c r="J41" t="s">
        <v>73</v>
      </c>
      <c r="M41" s="5">
        <f>G25</f>
        <v>0</v>
      </c>
      <c r="N41" s="5">
        <f>G26</f>
        <v>0</v>
      </c>
      <c r="O41" s="5">
        <f>G27</f>
        <v>0</v>
      </c>
      <c r="P41" s="5">
        <f>G28</f>
        <v>0</v>
      </c>
      <c r="Q41" s="5">
        <f>G29</f>
        <v>0</v>
      </c>
      <c r="R41" s="5">
        <f>G30</f>
        <v>0</v>
      </c>
      <c r="S41" s="5">
        <f>G31</f>
        <v>0</v>
      </c>
      <c r="T41" s="5">
        <f>G32</f>
        <v>0</v>
      </c>
      <c r="U41" s="5">
        <f>G33</f>
        <v>0</v>
      </c>
      <c r="V41" s="12">
        <f>G34</f>
        <v>0</v>
      </c>
      <c r="W41" s="12">
        <f>G35</f>
        <v>0</v>
      </c>
      <c r="X41" s="12">
        <f>G36</f>
        <v>0</v>
      </c>
      <c r="Y41" s="12">
        <f>G37</f>
        <v>0</v>
      </c>
      <c r="Z41" s="12">
        <f>G38</f>
        <v>0</v>
      </c>
      <c r="AA41" s="12">
        <f>G39</f>
        <v>0</v>
      </c>
      <c r="AB41" s="12">
        <f>G40</f>
        <v>0</v>
      </c>
      <c r="AG41" t="s">
        <v>74</v>
      </c>
      <c r="BF41" t="s">
        <v>75</v>
      </c>
      <c r="BU41">
        <v>10</v>
      </c>
      <c r="BV41">
        <v>1.1</v>
      </c>
      <c r="BW41">
        <v>0.5762</v>
      </c>
      <c r="BX41">
        <v>0.4021</v>
      </c>
      <c r="BY41">
        <v>0.3155</v>
      </c>
      <c r="BZ41">
        <v>0.2638</v>
      </c>
      <c r="CA41">
        <v>0.2296</v>
      </c>
      <c r="CB41">
        <v>0.2054</v>
      </c>
      <c r="CC41">
        <v>0.1874</v>
      </c>
      <c r="CD41">
        <v>10</v>
      </c>
      <c r="CE41">
        <v>0.1736</v>
      </c>
      <c r="CF41">
        <v>0.1627</v>
      </c>
      <c r="CG41">
        <v>0.154</v>
      </c>
      <c r="CH41">
        <v>0.1468</v>
      </c>
      <c r="CI41">
        <v>0.1408</v>
      </c>
      <c r="CJ41">
        <v>0.1357</v>
      </c>
      <c r="CK41">
        <v>0.1315</v>
      </c>
      <c r="CL41">
        <v>0.1278</v>
      </c>
    </row>
    <row r="42" spans="1:90" ht="15">
      <c r="A42" s="24"/>
      <c r="J42" t="s">
        <v>76</v>
      </c>
      <c r="M42" s="9">
        <f aca="true" t="shared" si="10" ref="M42:AB42">TRUNC(ROUND(+M39+M40+M41,0))</f>
        <v>0</v>
      </c>
      <c r="N42" s="9">
        <f t="shared" si="10"/>
        <v>19475</v>
      </c>
      <c r="O42" s="9">
        <f t="shared" si="10"/>
        <v>29168</v>
      </c>
      <c r="P42" s="9">
        <f t="shared" si="10"/>
        <v>23314</v>
      </c>
      <c r="Q42" s="9">
        <f t="shared" si="10"/>
        <v>18448</v>
      </c>
      <c r="R42" s="9">
        <f t="shared" si="10"/>
        <v>16070</v>
      </c>
      <c r="S42" s="9">
        <f t="shared" si="10"/>
        <v>0</v>
      </c>
      <c r="T42" s="9">
        <f t="shared" si="10"/>
        <v>0</v>
      </c>
      <c r="U42" s="9">
        <f t="shared" si="10"/>
        <v>0</v>
      </c>
      <c r="V42" s="9">
        <f t="shared" si="10"/>
        <v>0</v>
      </c>
      <c r="W42" s="9">
        <f t="shared" si="10"/>
        <v>0</v>
      </c>
      <c r="X42" s="9">
        <f t="shared" si="10"/>
        <v>0</v>
      </c>
      <c r="Y42" s="9">
        <f t="shared" si="10"/>
        <v>0</v>
      </c>
      <c r="Z42" s="9">
        <f t="shared" si="10"/>
        <v>0</v>
      </c>
      <c r="AA42" s="9">
        <f t="shared" si="10"/>
        <v>0</v>
      </c>
      <c r="AB42" s="9">
        <f t="shared" si="10"/>
        <v>0</v>
      </c>
      <c r="BD42" t="s">
        <v>77</v>
      </c>
      <c r="BU42">
        <v>10.5</v>
      </c>
      <c r="BV42">
        <v>1.105</v>
      </c>
      <c r="BW42">
        <v>0.5801</v>
      </c>
      <c r="BX42">
        <v>0.4057</v>
      </c>
      <c r="BY42">
        <v>0.3189</v>
      </c>
      <c r="BZ42">
        <v>0.2672</v>
      </c>
      <c r="CA42">
        <v>0.233</v>
      </c>
      <c r="CB42">
        <v>0.2088</v>
      </c>
      <c r="CC42">
        <v>0.1909</v>
      </c>
      <c r="CD42">
        <v>10.5</v>
      </c>
      <c r="CE42">
        <v>0.1771</v>
      </c>
      <c r="CF42">
        <v>0.1663</v>
      </c>
      <c r="CG42">
        <v>0.1575</v>
      </c>
      <c r="CH42">
        <v>0.1504</v>
      </c>
      <c r="CI42">
        <v>0.1444</v>
      </c>
      <c r="CJ42">
        <v>0.1395</v>
      </c>
      <c r="CK42">
        <v>0.1352</v>
      </c>
      <c r="CL42">
        <v>0.1316</v>
      </c>
    </row>
    <row r="43" spans="1:90" ht="15" thickBot="1">
      <c r="A43" s="24" t="s">
        <v>96</v>
      </c>
      <c r="D43" s="30"/>
      <c r="E43" s="29">
        <v>7</v>
      </c>
      <c r="F43" t="s">
        <v>97</v>
      </c>
      <c r="H43" s="19"/>
      <c r="J43" t="s">
        <v>79</v>
      </c>
      <c r="M43" s="4"/>
      <c r="N43" s="4"/>
      <c r="O43" s="4"/>
      <c r="P43" s="4"/>
      <c r="Q43" s="4"/>
      <c r="R43" s="4"/>
      <c r="S43" s="4"/>
      <c r="T43" s="4"/>
      <c r="U43" s="4"/>
      <c r="V43" s="13"/>
      <c r="W43" s="13"/>
      <c r="X43" s="13"/>
      <c r="Y43" s="13"/>
      <c r="Z43" s="13"/>
      <c r="AA43" s="13"/>
      <c r="AB43" s="13"/>
      <c r="AD43" t="s">
        <v>7</v>
      </c>
      <c r="AE43" t="s">
        <v>10</v>
      </c>
      <c r="AF43" t="s">
        <v>11</v>
      </c>
      <c r="AG43" t="s">
        <v>12</v>
      </c>
      <c r="AH43" t="s">
        <v>13</v>
      </c>
      <c r="AI43" t="s">
        <v>14</v>
      </c>
      <c r="AJ43" t="s">
        <v>15</v>
      </c>
      <c r="AK43" t="s">
        <v>16</v>
      </c>
      <c r="AL43" t="s">
        <v>17</v>
      </c>
      <c r="AM43" t="s">
        <v>18</v>
      </c>
      <c r="AN43" t="s">
        <v>19</v>
      </c>
      <c r="AO43" t="s">
        <v>20</v>
      </c>
      <c r="AP43" t="s">
        <v>21</v>
      </c>
      <c r="AQ43" t="s">
        <v>22</v>
      </c>
      <c r="AR43" t="s">
        <v>23</v>
      </c>
      <c r="BD43" t="s">
        <v>80</v>
      </c>
      <c r="BE43">
        <v>3</v>
      </c>
      <c r="BF43">
        <v>5</v>
      </c>
      <c r="BG43">
        <v>7</v>
      </c>
      <c r="BH43">
        <v>10</v>
      </c>
      <c r="BI43">
        <v>15</v>
      </c>
      <c r="BJ43">
        <v>20</v>
      </c>
      <c r="BU43">
        <v>11</v>
      </c>
      <c r="BV43">
        <v>1.11</v>
      </c>
      <c r="BW43">
        <v>0.5839</v>
      </c>
      <c r="BX43">
        <v>0.4092</v>
      </c>
      <c r="BY43">
        <v>0.3223</v>
      </c>
      <c r="BZ43">
        <v>0.2706</v>
      </c>
      <c r="CA43">
        <v>0.2364</v>
      </c>
      <c r="CB43">
        <v>0.2122</v>
      </c>
      <c r="CC43">
        <v>0.1943</v>
      </c>
      <c r="CD43">
        <v>11</v>
      </c>
      <c r="CE43">
        <v>0.1806</v>
      </c>
      <c r="CF43">
        <v>0.1698</v>
      </c>
      <c r="CG43">
        <v>0.1611</v>
      </c>
      <c r="CH43">
        <v>0.154</v>
      </c>
      <c r="CI43">
        <v>0.1482</v>
      </c>
      <c r="CJ43">
        <v>0.1432</v>
      </c>
      <c r="CK43">
        <v>0.1391</v>
      </c>
      <c r="CL43">
        <v>0.1355</v>
      </c>
    </row>
    <row r="44" spans="1:90" ht="15" thickBot="1">
      <c r="A44" s="24"/>
      <c r="D44" s="30"/>
      <c r="E44" s="30"/>
      <c r="F44" t="s">
        <v>99</v>
      </c>
      <c r="H44" s="29">
        <v>0</v>
      </c>
      <c r="K44" t="s">
        <v>82</v>
      </c>
      <c r="M44" s="4"/>
      <c r="N44" s="4">
        <f aca="true" t="shared" si="11" ref="N44:AB44">IF($G$70=N35,$G$71,0)</f>
        <v>0</v>
      </c>
      <c r="O44" s="4">
        <f t="shared" si="11"/>
        <v>0</v>
      </c>
      <c r="P44" s="4">
        <f t="shared" si="11"/>
        <v>0</v>
      </c>
      <c r="Q44" s="4">
        <f t="shared" si="11"/>
        <v>0</v>
      </c>
      <c r="R44" s="4">
        <f t="shared" si="11"/>
        <v>40000</v>
      </c>
      <c r="S44" s="4">
        <f t="shared" si="11"/>
        <v>0</v>
      </c>
      <c r="T44" s="4">
        <f t="shared" si="11"/>
        <v>0</v>
      </c>
      <c r="U44" s="4">
        <f t="shared" si="11"/>
        <v>0</v>
      </c>
      <c r="V44" s="4">
        <f t="shared" si="11"/>
        <v>0</v>
      </c>
      <c r="W44" s="4">
        <f t="shared" si="11"/>
        <v>0</v>
      </c>
      <c r="X44" s="4">
        <f t="shared" si="11"/>
        <v>0</v>
      </c>
      <c r="Y44" s="4">
        <f t="shared" si="11"/>
        <v>0</v>
      </c>
      <c r="Z44" s="4">
        <f t="shared" si="11"/>
        <v>0</v>
      </c>
      <c r="AA44" s="4">
        <f t="shared" si="11"/>
        <v>0</v>
      </c>
      <c r="AB44" s="4">
        <f t="shared" si="11"/>
        <v>0</v>
      </c>
      <c r="AD44" t="s">
        <v>24</v>
      </c>
      <c r="AE44" t="s">
        <v>25</v>
      </c>
      <c r="AF44" t="s">
        <v>25</v>
      </c>
      <c r="AG44" t="s">
        <v>25</v>
      </c>
      <c r="AH44" t="s">
        <v>25</v>
      </c>
      <c r="AI44" t="s">
        <v>25</v>
      </c>
      <c r="AJ44" t="s">
        <v>25</v>
      </c>
      <c r="AK44" t="s">
        <v>25</v>
      </c>
      <c r="AL44" t="s">
        <v>25</v>
      </c>
      <c r="AM44" t="s">
        <v>25</v>
      </c>
      <c r="AN44" t="s">
        <v>25</v>
      </c>
      <c r="AO44" t="s">
        <v>25</v>
      </c>
      <c r="AP44" t="s">
        <v>25</v>
      </c>
      <c r="AQ44" t="s">
        <v>25</v>
      </c>
      <c r="AR44" t="s">
        <v>25</v>
      </c>
      <c r="AS44" t="s">
        <v>26</v>
      </c>
      <c r="BD44">
        <v>1</v>
      </c>
      <c r="BE44">
        <v>25</v>
      </c>
      <c r="BF44">
        <v>15</v>
      </c>
      <c r="BG44">
        <v>10.71</v>
      </c>
      <c r="BH44">
        <v>7.5</v>
      </c>
      <c r="BI44">
        <v>5</v>
      </c>
      <c r="BJ44">
        <v>3.75</v>
      </c>
      <c r="BU44">
        <v>11.5</v>
      </c>
      <c r="BV44">
        <v>1.115</v>
      </c>
      <c r="BW44">
        <v>0.5878</v>
      </c>
      <c r="BX44">
        <v>0.4128</v>
      </c>
      <c r="BY44">
        <v>0.3258</v>
      </c>
      <c r="BZ44">
        <v>0.274</v>
      </c>
      <c r="CA44">
        <v>0.2398</v>
      </c>
      <c r="CB44">
        <v>0.2157</v>
      </c>
      <c r="CC44">
        <v>0.1978</v>
      </c>
      <c r="CD44">
        <v>11.5</v>
      </c>
      <c r="CE44">
        <v>0.1841</v>
      </c>
      <c r="CF44">
        <v>0.1734</v>
      </c>
      <c r="CG44">
        <v>0.1648</v>
      </c>
      <c r="CH44">
        <v>0.1577</v>
      </c>
      <c r="CI44">
        <v>0.1519</v>
      </c>
      <c r="CJ44">
        <v>0.147</v>
      </c>
      <c r="CK44">
        <v>0.1429</v>
      </c>
      <c r="CL44">
        <v>0.1394</v>
      </c>
    </row>
    <row r="45" spans="1:90" ht="15" thickBot="1">
      <c r="A45" s="24" t="s">
        <v>101</v>
      </c>
      <c r="D45" s="30"/>
      <c r="E45" s="29">
        <v>0</v>
      </c>
      <c r="J45" t="s">
        <v>85</v>
      </c>
      <c r="K45" t="s">
        <v>86</v>
      </c>
      <c r="M45" s="4"/>
      <c r="N45" s="4">
        <f aca="true" t="shared" si="12" ref="N45:AB45">IF($G$70=N35,$E$46-SUM($N$40:$AB$40),0)</f>
        <v>0</v>
      </c>
      <c r="O45" s="4">
        <f t="shared" si="12"/>
        <v>0</v>
      </c>
      <c r="P45" s="4">
        <f t="shared" si="12"/>
        <v>0</v>
      </c>
      <c r="Q45" s="4">
        <f t="shared" si="12"/>
        <v>0</v>
      </c>
      <c r="R45" s="4">
        <f t="shared" si="12"/>
        <v>36756</v>
      </c>
      <c r="S45" s="4">
        <f t="shared" si="12"/>
        <v>0</v>
      </c>
      <c r="T45" s="4">
        <f t="shared" si="12"/>
        <v>0</v>
      </c>
      <c r="U45" s="4">
        <f t="shared" si="12"/>
        <v>0</v>
      </c>
      <c r="V45" s="4">
        <f t="shared" si="12"/>
        <v>0</v>
      </c>
      <c r="W45" s="4">
        <f t="shared" si="12"/>
        <v>0</v>
      </c>
      <c r="X45" s="4">
        <f t="shared" si="12"/>
        <v>0</v>
      </c>
      <c r="Y45" s="4">
        <f t="shared" si="12"/>
        <v>0</v>
      </c>
      <c r="Z45" s="4">
        <f t="shared" si="12"/>
        <v>0</v>
      </c>
      <c r="AA45" s="4">
        <f t="shared" si="12"/>
        <v>0</v>
      </c>
      <c r="AB45" s="4">
        <f t="shared" si="12"/>
        <v>0</v>
      </c>
      <c r="AE45">
        <v>1</v>
      </c>
      <c r="AF45">
        <v>2</v>
      </c>
      <c r="AG45">
        <v>3</v>
      </c>
      <c r="AH45">
        <v>4</v>
      </c>
      <c r="AI45">
        <v>5</v>
      </c>
      <c r="AJ45">
        <v>6</v>
      </c>
      <c r="AK45">
        <v>7</v>
      </c>
      <c r="AL45">
        <v>8</v>
      </c>
      <c r="AM45">
        <v>9</v>
      </c>
      <c r="AN45">
        <v>10</v>
      </c>
      <c r="AO45">
        <v>11</v>
      </c>
      <c r="AP45">
        <v>12</v>
      </c>
      <c r="AQ45">
        <v>13</v>
      </c>
      <c r="AR45">
        <v>14</v>
      </c>
      <c r="AS45">
        <v>15</v>
      </c>
      <c r="BD45">
        <v>2</v>
      </c>
      <c r="BE45">
        <v>37.5</v>
      </c>
      <c r="BF45">
        <v>25.5</v>
      </c>
      <c r="BG45">
        <v>19.13</v>
      </c>
      <c r="BH45">
        <v>13.88</v>
      </c>
      <c r="BI45">
        <v>9.5</v>
      </c>
      <c r="BJ45">
        <v>7.22</v>
      </c>
      <c r="BU45">
        <v>12</v>
      </c>
      <c r="BV45">
        <v>1.12</v>
      </c>
      <c r="BW45">
        <v>0.5917</v>
      </c>
      <c r="BX45">
        <v>0.4163</v>
      </c>
      <c r="BY45">
        <v>0.3292</v>
      </c>
      <c r="BZ45">
        <v>0.2774</v>
      </c>
      <c r="CA45">
        <v>0.2432</v>
      </c>
      <c r="CB45">
        <v>0.2191</v>
      </c>
      <c r="CC45">
        <v>0.2013</v>
      </c>
      <c r="CD45">
        <v>12</v>
      </c>
      <c r="CE45">
        <v>0.1877</v>
      </c>
      <c r="CF45">
        <v>0.177</v>
      </c>
      <c r="CG45">
        <v>0.1684</v>
      </c>
      <c r="CH45">
        <v>0.1614</v>
      </c>
      <c r="CI45">
        <v>0.1557</v>
      </c>
      <c r="CJ45">
        <v>0.1509</v>
      </c>
      <c r="CK45">
        <v>0.1468</v>
      </c>
      <c r="CL45">
        <v>0.1434</v>
      </c>
    </row>
    <row r="46" spans="1:90" ht="15" thickBot="1">
      <c r="A46" s="24" t="s">
        <v>103</v>
      </c>
      <c r="D46" s="30"/>
      <c r="E46" s="29">
        <v>120000</v>
      </c>
      <c r="J46" t="s">
        <v>87</v>
      </c>
      <c r="K46" t="s">
        <v>88</v>
      </c>
      <c r="M46" s="4"/>
      <c r="N46" s="4">
        <f aca="true" t="shared" si="13" ref="N46:AB46">N44-N45</f>
        <v>0</v>
      </c>
      <c r="O46" s="4">
        <f t="shared" si="13"/>
        <v>0</v>
      </c>
      <c r="P46" s="4">
        <f t="shared" si="13"/>
        <v>0</v>
      </c>
      <c r="Q46" s="4">
        <f t="shared" si="13"/>
        <v>0</v>
      </c>
      <c r="R46" s="4">
        <f t="shared" si="13"/>
        <v>3244</v>
      </c>
      <c r="S46" s="4">
        <f t="shared" si="13"/>
        <v>0</v>
      </c>
      <c r="T46" s="4">
        <f t="shared" si="13"/>
        <v>0</v>
      </c>
      <c r="U46" s="4">
        <f t="shared" si="13"/>
        <v>0</v>
      </c>
      <c r="V46" s="4">
        <f t="shared" si="13"/>
        <v>0</v>
      </c>
      <c r="W46" s="4">
        <f t="shared" si="13"/>
        <v>0</v>
      </c>
      <c r="X46" s="4">
        <f t="shared" si="13"/>
        <v>0</v>
      </c>
      <c r="Y46" s="4">
        <f t="shared" si="13"/>
        <v>0</v>
      </c>
      <c r="Z46" s="4">
        <f t="shared" si="13"/>
        <v>0</v>
      </c>
      <c r="AA46" s="4">
        <f t="shared" si="13"/>
        <v>0</v>
      </c>
      <c r="AB46" s="4">
        <f t="shared" si="13"/>
        <v>0</v>
      </c>
      <c r="AD46">
        <v>4</v>
      </c>
      <c r="AE46">
        <v>0.44</v>
      </c>
      <c r="AF46">
        <v>0.42</v>
      </c>
      <c r="AG46">
        <v>0.4</v>
      </c>
      <c r="AH46">
        <v>0.38</v>
      </c>
      <c r="AI46">
        <v>0.35</v>
      </c>
      <c r="AJ46">
        <v>0.32</v>
      </c>
      <c r="AK46">
        <v>0.3</v>
      </c>
      <c r="AL46">
        <v>0.27</v>
      </c>
      <c r="AM46">
        <v>0.24</v>
      </c>
      <c r="AN46">
        <v>0.21</v>
      </c>
      <c r="AO46">
        <v>0.18</v>
      </c>
      <c r="AP46">
        <v>0.15</v>
      </c>
      <c r="AQ46">
        <v>0.11</v>
      </c>
      <c r="AR46">
        <v>0.08</v>
      </c>
      <c r="AS46">
        <v>0.04</v>
      </c>
      <c r="BD46">
        <v>3</v>
      </c>
      <c r="BE46">
        <v>25</v>
      </c>
      <c r="BF46">
        <v>17.85</v>
      </c>
      <c r="BG46">
        <v>15.03</v>
      </c>
      <c r="BH46">
        <v>11.79</v>
      </c>
      <c r="BI46">
        <v>8.55</v>
      </c>
      <c r="BJ46">
        <v>6.68</v>
      </c>
      <c r="BU46">
        <v>12.5</v>
      </c>
      <c r="BV46">
        <v>1.125</v>
      </c>
      <c r="BW46">
        <v>0.5956</v>
      </c>
      <c r="BX46">
        <v>0.4199</v>
      </c>
      <c r="BY46">
        <v>0.3327</v>
      </c>
      <c r="BZ46">
        <v>0.2809</v>
      </c>
      <c r="CA46">
        <v>0.2467</v>
      </c>
      <c r="CB46">
        <v>0.2226</v>
      </c>
      <c r="CC46">
        <v>0.2048</v>
      </c>
      <c r="CD46">
        <v>12.5</v>
      </c>
      <c r="CE46">
        <v>0.1913</v>
      </c>
      <c r="CF46">
        <v>0.1806</v>
      </c>
      <c r="CG46">
        <v>0.1721</v>
      </c>
      <c r="CH46">
        <v>0.1652</v>
      </c>
      <c r="CI46">
        <v>0.1595</v>
      </c>
      <c r="CJ46">
        <v>0.1548</v>
      </c>
      <c r="CK46">
        <v>0.1508</v>
      </c>
      <c r="CL46">
        <v>0.1474</v>
      </c>
    </row>
    <row r="47" spans="1:90" ht="15">
      <c r="A47" s="24"/>
      <c r="D47" s="30"/>
      <c r="E47" s="30"/>
      <c r="J47" t="s">
        <v>90</v>
      </c>
      <c r="K47" t="s">
        <v>91</v>
      </c>
      <c r="M47" s="4"/>
      <c r="N47" s="9">
        <f aca="true" t="shared" si="14" ref="N47:AB47">IF($G$70=N35,IF($BK$151&gt;$G$70,IF($D476&lt;&gt;0,($E$46-$E$45-(SUM($N$37:$AB$37)-SUM($N$39:$AB$39))),AU175*($E$46-$E$45)),0),0)</f>
        <v>0</v>
      </c>
      <c r="O47" s="9">
        <f t="shared" si="14"/>
        <v>0</v>
      </c>
      <c r="P47" s="9">
        <f t="shared" si="14"/>
        <v>0</v>
      </c>
      <c r="Q47" s="9">
        <f t="shared" si="14"/>
        <v>0</v>
      </c>
      <c r="R47" s="9">
        <f t="shared" si="14"/>
        <v>0</v>
      </c>
      <c r="S47" s="9">
        <f t="shared" si="14"/>
        <v>0</v>
      </c>
      <c r="T47" s="9">
        <f t="shared" si="14"/>
        <v>0</v>
      </c>
      <c r="U47" s="9">
        <f t="shared" si="14"/>
        <v>0</v>
      </c>
      <c r="V47" s="9">
        <f t="shared" si="14"/>
        <v>0</v>
      </c>
      <c r="W47" s="9">
        <f t="shared" si="14"/>
        <v>0</v>
      </c>
      <c r="X47" s="9">
        <f t="shared" si="14"/>
        <v>0</v>
      </c>
      <c r="Y47" s="9">
        <f t="shared" si="14"/>
        <v>0</v>
      </c>
      <c r="Z47" s="9">
        <f t="shared" si="14"/>
        <v>0</v>
      </c>
      <c r="AA47" s="9">
        <f t="shared" si="14"/>
        <v>0</v>
      </c>
      <c r="AB47" s="9">
        <f t="shared" si="14"/>
        <v>0</v>
      </c>
      <c r="AD47">
        <v>5</v>
      </c>
      <c r="AE47">
        <v>0.52</v>
      </c>
      <c r="AF47">
        <v>0.49</v>
      </c>
      <c r="AG47">
        <v>0.47</v>
      </c>
      <c r="AH47">
        <v>0.44</v>
      </c>
      <c r="AI47">
        <v>0.42</v>
      </c>
      <c r="AJ47">
        <v>0.39</v>
      </c>
      <c r="AK47">
        <v>0.36</v>
      </c>
      <c r="AL47">
        <v>0.32</v>
      </c>
      <c r="AM47">
        <v>0.29</v>
      </c>
      <c r="AN47">
        <v>0.25</v>
      </c>
      <c r="AO47">
        <v>0.23</v>
      </c>
      <c r="AP47">
        <v>0.18</v>
      </c>
      <c r="AQ47">
        <v>0.14</v>
      </c>
      <c r="AR47">
        <v>0.09</v>
      </c>
      <c r="AS47">
        <v>0.05</v>
      </c>
      <c r="BD47">
        <v>4</v>
      </c>
      <c r="BE47">
        <v>12.5</v>
      </c>
      <c r="BF47">
        <v>16.66</v>
      </c>
      <c r="BG47">
        <v>12.25</v>
      </c>
      <c r="BH47">
        <v>10.02</v>
      </c>
      <c r="BI47">
        <v>7.69</v>
      </c>
      <c r="BJ47">
        <v>6.18</v>
      </c>
      <c r="BU47">
        <v>13</v>
      </c>
      <c r="BV47">
        <v>1.13</v>
      </c>
      <c r="BW47">
        <v>0.5995</v>
      </c>
      <c r="BX47">
        <v>0.4235</v>
      </c>
      <c r="BY47">
        <v>0.3362</v>
      </c>
      <c r="BZ47">
        <v>0.2843</v>
      </c>
      <c r="CA47">
        <v>0.2502</v>
      </c>
      <c r="CB47">
        <v>0.2261</v>
      </c>
      <c r="CC47">
        <v>0.2084</v>
      </c>
      <c r="CD47">
        <v>13</v>
      </c>
      <c r="CE47">
        <v>0.1949</v>
      </c>
      <c r="CF47">
        <v>0.1843</v>
      </c>
      <c r="CG47">
        <v>0.1758</v>
      </c>
      <c r="CH47">
        <v>0.169</v>
      </c>
      <c r="CI47">
        <v>0.1634</v>
      </c>
      <c r="CJ47">
        <v>0.1587</v>
      </c>
      <c r="CK47">
        <v>0.1547</v>
      </c>
      <c r="CL47">
        <v>0.1514</v>
      </c>
    </row>
    <row r="48" spans="1:90" ht="15" thickBot="1">
      <c r="A48" s="24" t="s">
        <v>106</v>
      </c>
      <c r="D48" s="30"/>
      <c r="E48" s="29">
        <v>0</v>
      </c>
      <c r="J48" t="s">
        <v>94</v>
      </c>
      <c r="M48" s="9">
        <f aca="true" t="shared" si="15" ref="M48:AB48">M42-M46</f>
        <v>0</v>
      </c>
      <c r="N48" s="9">
        <f t="shared" si="15"/>
        <v>19475</v>
      </c>
      <c r="O48" s="9">
        <f t="shared" si="15"/>
        <v>29168</v>
      </c>
      <c r="P48" s="9">
        <f t="shared" si="15"/>
        <v>23314</v>
      </c>
      <c r="Q48" s="9">
        <f t="shared" si="15"/>
        <v>18448</v>
      </c>
      <c r="R48" s="9">
        <f t="shared" si="15"/>
        <v>12826</v>
      </c>
      <c r="S48" s="9">
        <f t="shared" si="15"/>
        <v>0</v>
      </c>
      <c r="T48" s="9">
        <f t="shared" si="15"/>
        <v>0</v>
      </c>
      <c r="U48" s="9">
        <f t="shared" si="15"/>
        <v>0</v>
      </c>
      <c r="V48" s="9">
        <f t="shared" si="15"/>
        <v>0</v>
      </c>
      <c r="W48" s="9">
        <f t="shared" si="15"/>
        <v>0</v>
      </c>
      <c r="X48" s="9">
        <f t="shared" si="15"/>
        <v>0</v>
      </c>
      <c r="Y48" s="9">
        <f t="shared" si="15"/>
        <v>0</v>
      </c>
      <c r="Z48" s="9">
        <f t="shared" si="15"/>
        <v>0</v>
      </c>
      <c r="AA48" s="9">
        <f t="shared" si="15"/>
        <v>0</v>
      </c>
      <c r="AB48" s="9">
        <f t="shared" si="15"/>
        <v>0</v>
      </c>
      <c r="AD48">
        <v>6</v>
      </c>
      <c r="AE48">
        <v>0.58</v>
      </c>
      <c r="AF48">
        <v>0.56</v>
      </c>
      <c r="AG48">
        <v>0.53</v>
      </c>
      <c r="AH48">
        <v>0.5</v>
      </c>
      <c r="AI48">
        <v>0.47</v>
      </c>
      <c r="AJ48">
        <v>0.44</v>
      </c>
      <c r="AK48">
        <v>0.41</v>
      </c>
      <c r="AL48">
        <v>0.37</v>
      </c>
      <c r="AM48">
        <v>0.33</v>
      </c>
      <c r="AN48">
        <v>0.3</v>
      </c>
      <c r="AO48">
        <v>0.25</v>
      </c>
      <c r="AP48">
        <v>0.21</v>
      </c>
      <c r="AQ48">
        <v>0.16</v>
      </c>
      <c r="AR48">
        <v>0.11</v>
      </c>
      <c r="AS48">
        <v>0.06</v>
      </c>
      <c r="BD48">
        <v>5</v>
      </c>
      <c r="BF48">
        <v>16.66</v>
      </c>
      <c r="BG48">
        <v>12.25</v>
      </c>
      <c r="BH48">
        <v>8.74</v>
      </c>
      <c r="BI48">
        <v>6.93</v>
      </c>
      <c r="BJ48">
        <v>5.71</v>
      </c>
      <c r="BU48">
        <v>13.5</v>
      </c>
      <c r="BV48">
        <v>1.135</v>
      </c>
      <c r="BW48">
        <v>0.6034</v>
      </c>
      <c r="BX48">
        <v>0.4271</v>
      </c>
      <c r="BY48">
        <v>0.3397</v>
      </c>
      <c r="BZ48">
        <v>0.2878</v>
      </c>
      <c r="CA48">
        <v>0.2536</v>
      </c>
      <c r="CB48">
        <v>0.2296</v>
      </c>
      <c r="CC48">
        <v>0.212</v>
      </c>
      <c r="CD48">
        <v>13.5</v>
      </c>
      <c r="CE48">
        <v>0.1985</v>
      </c>
      <c r="CF48">
        <v>0.188</v>
      </c>
      <c r="CG48">
        <v>0.1796</v>
      </c>
      <c r="CH48">
        <v>0.1728</v>
      </c>
      <c r="CI48">
        <v>0.1672</v>
      </c>
      <c r="CJ48">
        <v>0.1626</v>
      </c>
      <c r="CK48">
        <v>0.1588</v>
      </c>
      <c r="CL48">
        <v>0.1555</v>
      </c>
    </row>
    <row r="49" spans="1:90" ht="15" thickBot="1">
      <c r="A49" s="24"/>
      <c r="D49" s="30"/>
      <c r="E49" s="30"/>
      <c r="J49" t="s">
        <v>95</v>
      </c>
      <c r="M49" s="22">
        <f>N49</f>
        <v>0.46</v>
      </c>
      <c r="N49" s="22">
        <f>$AO$101/100</f>
        <v>0.46</v>
      </c>
      <c r="O49" s="22">
        <f>$AO$102/100</f>
        <v>0.34</v>
      </c>
      <c r="P49" s="22">
        <f>$AO$103/100</f>
        <v>0.34</v>
      </c>
      <c r="Q49" s="22">
        <f>$AO$104/100</f>
        <v>0.34</v>
      </c>
      <c r="R49" s="22">
        <f>$AO$105/100</f>
        <v>0.34</v>
      </c>
      <c r="S49" s="22">
        <f>$AO$106/100</f>
        <v>0.34</v>
      </c>
      <c r="T49" s="22">
        <f>$AO$107/100</f>
        <v>0.34</v>
      </c>
      <c r="U49" s="22">
        <f>$AO$108/100</f>
        <v>0.34</v>
      </c>
      <c r="V49" s="22">
        <f>$AO$109/100</f>
        <v>0.34</v>
      </c>
      <c r="W49" s="22">
        <f>$AO$110/100</f>
        <v>0.34</v>
      </c>
      <c r="X49" s="22">
        <f>$AO$111/100</f>
        <v>0</v>
      </c>
      <c r="Y49" s="22">
        <f>$AO$112/100</f>
        <v>0</v>
      </c>
      <c r="Z49" s="22">
        <f>$AO$113/100</f>
        <v>0</v>
      </c>
      <c r="AA49" s="22">
        <f>$AO$114/100</f>
        <v>0</v>
      </c>
      <c r="AB49" s="22">
        <f>$AO$115/100</f>
        <v>0</v>
      </c>
      <c r="AD49">
        <v>7</v>
      </c>
      <c r="AE49">
        <v>0.64</v>
      </c>
      <c r="AF49">
        <v>0.61</v>
      </c>
      <c r="AG49">
        <v>0.58</v>
      </c>
      <c r="AH49">
        <v>0.56</v>
      </c>
      <c r="AI49">
        <v>0.52</v>
      </c>
      <c r="AJ49">
        <v>0.49</v>
      </c>
      <c r="AK49">
        <v>0.46</v>
      </c>
      <c r="AL49">
        <v>0.42</v>
      </c>
      <c r="AM49">
        <v>0.38</v>
      </c>
      <c r="AN49">
        <v>0.33</v>
      </c>
      <c r="AO49">
        <v>0.29</v>
      </c>
      <c r="AP49">
        <v>0.24</v>
      </c>
      <c r="AQ49">
        <v>0.18</v>
      </c>
      <c r="AR49">
        <v>0.13</v>
      </c>
      <c r="AS49">
        <v>0.07</v>
      </c>
      <c r="BD49">
        <v>6</v>
      </c>
      <c r="BF49">
        <v>8.33</v>
      </c>
      <c r="BG49">
        <v>12.25</v>
      </c>
      <c r="BH49">
        <v>8.74</v>
      </c>
      <c r="BI49">
        <v>6.23</v>
      </c>
      <c r="BJ49">
        <v>5.28</v>
      </c>
      <c r="BU49">
        <v>14</v>
      </c>
      <c r="BV49">
        <v>1.14</v>
      </c>
      <c r="BW49">
        <v>0.6073</v>
      </c>
      <c r="BX49">
        <v>0.4307</v>
      </c>
      <c r="BY49">
        <v>0.3432</v>
      </c>
      <c r="BZ49">
        <v>0.2913</v>
      </c>
      <c r="CA49">
        <v>0.2572</v>
      </c>
      <c r="CB49">
        <v>0.2332</v>
      </c>
      <c r="CC49">
        <v>0.2156</v>
      </c>
      <c r="CD49">
        <v>14</v>
      </c>
      <c r="CE49">
        <v>0.2022</v>
      </c>
      <c r="CF49">
        <v>0.1917</v>
      </c>
      <c r="CG49">
        <v>0.1834</v>
      </c>
      <c r="CH49">
        <v>0.1767</v>
      </c>
      <c r="CI49">
        <v>0.1712</v>
      </c>
      <c r="CJ49">
        <v>0.1666</v>
      </c>
      <c r="CK49">
        <v>0.1628</v>
      </c>
      <c r="CL49">
        <v>0.1596</v>
      </c>
    </row>
    <row r="50" spans="1:90" ht="15" thickBot="1">
      <c r="A50" s="24" t="s">
        <v>110</v>
      </c>
      <c r="D50" s="30"/>
      <c r="E50" s="29">
        <v>4800</v>
      </c>
      <c r="J50" t="s">
        <v>98</v>
      </c>
      <c r="M50" s="9">
        <f aca="true" t="shared" si="16" ref="M50:AB50">TRUNC(ROUND(+M48*M49,0))</f>
        <v>0</v>
      </c>
      <c r="N50" s="9">
        <f t="shared" si="16"/>
        <v>8959</v>
      </c>
      <c r="O50" s="9">
        <f t="shared" si="16"/>
        <v>9917</v>
      </c>
      <c r="P50" s="9">
        <f t="shared" si="16"/>
        <v>7927</v>
      </c>
      <c r="Q50" s="9">
        <f t="shared" si="16"/>
        <v>6272</v>
      </c>
      <c r="R50" s="9">
        <f t="shared" si="16"/>
        <v>4361</v>
      </c>
      <c r="S50" s="9">
        <f t="shared" si="16"/>
        <v>0</v>
      </c>
      <c r="T50" s="9">
        <f t="shared" si="16"/>
        <v>0</v>
      </c>
      <c r="U50" s="9">
        <f t="shared" si="16"/>
        <v>0</v>
      </c>
      <c r="V50" s="9">
        <f t="shared" si="16"/>
        <v>0</v>
      </c>
      <c r="W50" s="9">
        <f t="shared" si="16"/>
        <v>0</v>
      </c>
      <c r="X50" s="9">
        <f t="shared" si="16"/>
        <v>0</v>
      </c>
      <c r="Y50" s="9">
        <f t="shared" si="16"/>
        <v>0</v>
      </c>
      <c r="Z50" s="9">
        <f t="shared" si="16"/>
        <v>0</v>
      </c>
      <c r="AA50" s="9">
        <f t="shared" si="16"/>
        <v>0</v>
      </c>
      <c r="AB50" s="9">
        <f t="shared" si="16"/>
        <v>0</v>
      </c>
      <c r="AD50">
        <v>8</v>
      </c>
      <c r="AE50">
        <v>0.68</v>
      </c>
      <c r="AF50">
        <v>0.66</v>
      </c>
      <c r="AG50">
        <v>0.63</v>
      </c>
      <c r="AH50">
        <v>0.6</v>
      </c>
      <c r="AI50">
        <v>0.57</v>
      </c>
      <c r="AJ50">
        <v>0.54</v>
      </c>
      <c r="AK50">
        <v>0.5</v>
      </c>
      <c r="AL50">
        <v>0.46</v>
      </c>
      <c r="AM50">
        <v>0.42</v>
      </c>
      <c r="AN50">
        <v>0.37</v>
      </c>
      <c r="AO50">
        <v>0.32</v>
      </c>
      <c r="AP50">
        <v>0.26</v>
      </c>
      <c r="AQ50">
        <v>0.21</v>
      </c>
      <c r="AR50">
        <v>0.14</v>
      </c>
      <c r="AS50">
        <v>0.07</v>
      </c>
      <c r="BD50">
        <v>7</v>
      </c>
      <c r="BG50">
        <v>12.25</v>
      </c>
      <c r="BH50">
        <v>8.74</v>
      </c>
      <c r="BI50">
        <v>5.9</v>
      </c>
      <c r="BJ50">
        <v>4.89</v>
      </c>
      <c r="BU50">
        <v>14.5</v>
      </c>
      <c r="BV50">
        <v>1.145</v>
      </c>
      <c r="BW50">
        <v>0.6112</v>
      </c>
      <c r="BX50">
        <v>0.4343</v>
      </c>
      <c r="BY50">
        <v>0.3467</v>
      </c>
      <c r="BZ50">
        <v>0.2948</v>
      </c>
      <c r="CA50">
        <v>0.2607</v>
      </c>
      <c r="CB50">
        <v>0.2368</v>
      </c>
      <c r="CC50">
        <v>0.2192</v>
      </c>
      <c r="CD50">
        <v>14.5</v>
      </c>
      <c r="CE50">
        <v>0.2059</v>
      </c>
      <c r="CF50">
        <v>0.1955</v>
      </c>
      <c r="CG50">
        <v>0.1872</v>
      </c>
      <c r="CH50">
        <v>0.1806</v>
      </c>
      <c r="CI50">
        <v>0.1751</v>
      </c>
      <c r="CJ50">
        <v>0.1706</v>
      </c>
      <c r="CK50">
        <v>0.1669</v>
      </c>
      <c r="CL50">
        <v>0.1638</v>
      </c>
    </row>
    <row r="51" spans="1:90" ht="15">
      <c r="A51" s="24"/>
      <c r="J51" t="s">
        <v>100</v>
      </c>
      <c r="M51" s="9">
        <f aca="true" t="shared" si="17" ref="M51:AB51">M37+M41-M44+M47-M50</f>
        <v>0</v>
      </c>
      <c r="N51" s="9">
        <f t="shared" si="17"/>
        <v>18880.23420237693</v>
      </c>
      <c r="O51" s="9">
        <f t="shared" si="17"/>
        <v>18468.960778010885</v>
      </c>
      <c r="P51" s="9">
        <f t="shared" si="17"/>
        <v>20881.17600151947</v>
      </c>
      <c r="Q51" s="9">
        <f t="shared" si="17"/>
        <v>22827.555905033012</v>
      </c>
      <c r="R51" s="9">
        <f t="shared" si="17"/>
        <v>-15261.444094967046</v>
      </c>
      <c r="S51" s="9">
        <f t="shared" si="17"/>
        <v>0</v>
      </c>
      <c r="T51" s="9">
        <f t="shared" si="17"/>
        <v>0</v>
      </c>
      <c r="U51" s="9">
        <f t="shared" si="17"/>
        <v>0</v>
      </c>
      <c r="V51" s="9">
        <f t="shared" si="17"/>
        <v>0</v>
      </c>
      <c r="W51" s="9">
        <f t="shared" si="17"/>
        <v>0</v>
      </c>
      <c r="X51" s="9">
        <f t="shared" si="17"/>
        <v>0</v>
      </c>
      <c r="Y51" s="9">
        <f t="shared" si="17"/>
        <v>0</v>
      </c>
      <c r="Z51" s="9">
        <f t="shared" si="17"/>
        <v>0</v>
      </c>
      <c r="AA51" s="9">
        <f t="shared" si="17"/>
        <v>0</v>
      </c>
      <c r="AB51" s="9">
        <f t="shared" si="17"/>
        <v>0</v>
      </c>
      <c r="AD51">
        <v>9</v>
      </c>
      <c r="AE51">
        <v>0.73</v>
      </c>
      <c r="AF51">
        <v>0.7</v>
      </c>
      <c r="AG51">
        <v>0.67</v>
      </c>
      <c r="AH51">
        <v>0.64</v>
      </c>
      <c r="AI51">
        <v>0.61</v>
      </c>
      <c r="AJ51">
        <v>0.58</v>
      </c>
      <c r="AK51">
        <v>0.54</v>
      </c>
      <c r="AL51">
        <v>0.5</v>
      </c>
      <c r="AM51">
        <v>0.45</v>
      </c>
      <c r="AN51">
        <v>0.4</v>
      </c>
      <c r="AO51">
        <v>0.35</v>
      </c>
      <c r="AP51">
        <v>0.29</v>
      </c>
      <c r="AQ51">
        <v>0.23</v>
      </c>
      <c r="AR51">
        <v>0.16</v>
      </c>
      <c r="AS51">
        <v>0.08</v>
      </c>
      <c r="BD51">
        <v>8</v>
      </c>
      <c r="BG51">
        <v>6.13</v>
      </c>
      <c r="BH51">
        <v>8.74</v>
      </c>
      <c r="BI51">
        <v>5.9</v>
      </c>
      <c r="BJ51">
        <v>4.52</v>
      </c>
      <c r="BU51">
        <v>15</v>
      </c>
      <c r="BV51">
        <v>1.15</v>
      </c>
      <c r="BW51">
        <v>0.6151</v>
      </c>
      <c r="BX51">
        <v>0.438</v>
      </c>
      <c r="BY51">
        <v>0.3503</v>
      </c>
      <c r="BZ51">
        <v>0.2983</v>
      </c>
      <c r="CA51">
        <v>0.2642</v>
      </c>
      <c r="CB51">
        <v>0.2404</v>
      </c>
      <c r="CC51">
        <v>0.2229</v>
      </c>
      <c r="CD51">
        <v>15</v>
      </c>
      <c r="CE51">
        <v>0.2096</v>
      </c>
      <c r="CF51">
        <v>0.1993</v>
      </c>
      <c r="CG51">
        <v>0.1911</v>
      </c>
      <c r="CH51">
        <v>0.1845</v>
      </c>
      <c r="CI51">
        <v>0.1791</v>
      </c>
      <c r="CJ51">
        <v>0.1747</v>
      </c>
      <c r="CK51">
        <v>0.171</v>
      </c>
      <c r="CL51">
        <v>0.1679</v>
      </c>
    </row>
    <row r="52" spans="1:62" ht="15">
      <c r="A52" s="24"/>
      <c r="J52" t="s">
        <v>102</v>
      </c>
      <c r="M52" s="4"/>
      <c r="N52" s="4">
        <f>E50</f>
        <v>4800</v>
      </c>
      <c r="O52" s="4"/>
      <c r="P52" s="4"/>
      <c r="Q52" s="4"/>
      <c r="R52" s="4"/>
      <c r="S52" s="4"/>
      <c r="T52" s="4"/>
      <c r="U52" s="4"/>
      <c r="V52" s="14"/>
      <c r="W52" s="14"/>
      <c r="X52" s="14"/>
      <c r="Y52" s="14"/>
      <c r="Z52" s="14"/>
      <c r="AA52" s="14"/>
      <c r="AB52" s="14"/>
      <c r="AD52">
        <v>10</v>
      </c>
      <c r="AE52">
        <v>0.76</v>
      </c>
      <c r="AF52">
        <v>0.74</v>
      </c>
      <c r="AG52">
        <v>0.71</v>
      </c>
      <c r="AH52">
        <v>0.68</v>
      </c>
      <c r="AI52">
        <v>0.65</v>
      </c>
      <c r="AJ52">
        <v>0.61</v>
      </c>
      <c r="AK52">
        <v>0.58</v>
      </c>
      <c r="AL52">
        <v>0.53</v>
      </c>
      <c r="AM52">
        <v>0.49</v>
      </c>
      <c r="AN52">
        <v>0.44</v>
      </c>
      <c r="AO52">
        <v>0.38</v>
      </c>
      <c r="AP52">
        <v>0.32</v>
      </c>
      <c r="AQ52">
        <v>0.25</v>
      </c>
      <c r="AR52">
        <v>0.17</v>
      </c>
      <c r="AS52">
        <v>0.09</v>
      </c>
      <c r="BD52">
        <v>9</v>
      </c>
      <c r="BH52">
        <v>8.74</v>
      </c>
      <c r="BI52">
        <v>5.9</v>
      </c>
      <c r="BJ52">
        <v>4.46</v>
      </c>
    </row>
    <row r="53" spans="1:83" ht="15.75" thickBot="1">
      <c r="A53" s="24" t="s">
        <v>113</v>
      </c>
      <c r="H53" s="3" t="s">
        <v>114</v>
      </c>
      <c r="J53" t="s">
        <v>104</v>
      </c>
      <c r="M53" s="5"/>
      <c r="N53" s="5">
        <v>0</v>
      </c>
      <c r="O53" s="5">
        <f>IF($G$70=O35,IF($E$43&lt;=3,1/3*$N$52,3/5*$N$52),0)</f>
        <v>0</v>
      </c>
      <c r="P53" s="5">
        <f>IF($G$70=P35,IF($E$43&lt;=3,0,2/5*$N$52),0)</f>
        <v>0</v>
      </c>
      <c r="Q53" s="5">
        <f>IF($G$70=Q35,IF($E$43&lt;=3,0,1/5*$N$52),0)</f>
        <v>0</v>
      </c>
      <c r="R53" s="5">
        <v>0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D53">
        <v>11</v>
      </c>
      <c r="AE53">
        <v>0.79</v>
      </c>
      <c r="AF53">
        <v>0.77</v>
      </c>
      <c r="AG53">
        <v>0.74</v>
      </c>
      <c r="AH53">
        <v>0.71</v>
      </c>
      <c r="AI53">
        <v>0.68</v>
      </c>
      <c r="AJ53">
        <v>0.65</v>
      </c>
      <c r="AK53">
        <v>0.61</v>
      </c>
      <c r="AL53">
        <v>0.57</v>
      </c>
      <c r="AM53">
        <v>0.52</v>
      </c>
      <c r="AN53">
        <v>0.47</v>
      </c>
      <c r="AO53">
        <v>0.41</v>
      </c>
      <c r="AP53">
        <v>0.34</v>
      </c>
      <c r="AQ53">
        <v>0.27</v>
      </c>
      <c r="AR53">
        <v>0.19</v>
      </c>
      <c r="AS53">
        <v>0.1</v>
      </c>
      <c r="BD53">
        <v>10</v>
      </c>
      <c r="BH53">
        <v>8.74</v>
      </c>
      <c r="BI53">
        <v>5.9</v>
      </c>
      <c r="BJ53">
        <v>4.46</v>
      </c>
      <c r="CE53" t="s">
        <v>56</v>
      </c>
    </row>
    <row r="54" spans="1:83" ht="15">
      <c r="A54" s="24"/>
      <c r="J54" t="s">
        <v>105</v>
      </c>
      <c r="M54" s="9">
        <f aca="true" t="shared" si="18" ref="M54:AB54">M51-M52+M53</f>
        <v>0</v>
      </c>
      <c r="N54" s="9">
        <f t="shared" si="18"/>
        <v>14080.23420237693</v>
      </c>
      <c r="O54" s="9">
        <f t="shared" si="18"/>
        <v>18468.960778010885</v>
      </c>
      <c r="P54" s="9">
        <f t="shared" si="18"/>
        <v>20881.17600151947</v>
      </c>
      <c r="Q54" s="9">
        <f t="shared" si="18"/>
        <v>22827.555905033012</v>
      </c>
      <c r="R54" s="9">
        <f t="shared" si="18"/>
        <v>-15261.444094967046</v>
      </c>
      <c r="S54" s="9">
        <f t="shared" si="18"/>
        <v>0</v>
      </c>
      <c r="T54" s="9">
        <f t="shared" si="18"/>
        <v>0</v>
      </c>
      <c r="U54" s="9">
        <f t="shared" si="18"/>
        <v>0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D54">
        <v>12</v>
      </c>
      <c r="AE54">
        <v>0.82</v>
      </c>
      <c r="AF54">
        <v>0.8</v>
      </c>
      <c r="AG54">
        <v>0.77</v>
      </c>
      <c r="AH54">
        <v>0.74</v>
      </c>
      <c r="AI54">
        <v>0.71</v>
      </c>
      <c r="AJ54">
        <v>0.68</v>
      </c>
      <c r="AK54">
        <v>0.64</v>
      </c>
      <c r="AL54">
        <v>0.6</v>
      </c>
      <c r="AM54">
        <v>0.55</v>
      </c>
      <c r="AN54">
        <v>0.49</v>
      </c>
      <c r="AO54">
        <v>0.43</v>
      </c>
      <c r="AP54">
        <v>0.36</v>
      </c>
      <c r="AQ54">
        <v>0.29</v>
      </c>
      <c r="AR54">
        <v>0.2</v>
      </c>
      <c r="AS54">
        <v>0.11</v>
      </c>
      <c r="BD54">
        <v>11</v>
      </c>
      <c r="BH54">
        <v>4.37</v>
      </c>
      <c r="BI54">
        <v>5.9</v>
      </c>
      <c r="BJ54">
        <v>4.46</v>
      </c>
      <c r="CE54" t="s">
        <v>59</v>
      </c>
    </row>
    <row r="55" spans="1:83" ht="15" thickBot="1">
      <c r="A55" s="24"/>
      <c r="B55" t="s">
        <v>116</v>
      </c>
      <c r="G55" s="29">
        <v>5</v>
      </c>
      <c r="J55" t="s">
        <v>107</v>
      </c>
      <c r="M55" s="5">
        <v>1</v>
      </c>
      <c r="N55" s="5">
        <f>$AQ$124</f>
        <v>0.96</v>
      </c>
      <c r="O55" s="5">
        <f>$AQ$125</f>
        <v>0.91</v>
      </c>
      <c r="P55" s="5">
        <f>$AQ$126</f>
        <v>0.86</v>
      </c>
      <c r="Q55" s="5">
        <f>$AQ$127</f>
        <v>0.81</v>
      </c>
      <c r="R55" s="5">
        <f>$AQ$128</f>
        <v>0.77</v>
      </c>
      <c r="S55" s="5">
        <f>$AQ$129</f>
        <v>0.73</v>
      </c>
      <c r="T55" s="5">
        <f>$AQ$130</f>
        <v>0.69</v>
      </c>
      <c r="U55" s="5">
        <f>$AQ$131</f>
        <v>0.65</v>
      </c>
      <c r="V55" s="5">
        <f>$AQ$132</f>
        <v>0.62</v>
      </c>
      <c r="W55" s="5">
        <f>$AQ$133</f>
        <v>0.59</v>
      </c>
      <c r="X55" s="5">
        <f>$AQ$134</f>
        <v>0.59</v>
      </c>
      <c r="Y55" s="5">
        <f>$AQ$135</f>
        <v>0.59</v>
      </c>
      <c r="Z55" s="5">
        <f>$AQ$136</f>
        <v>0.59</v>
      </c>
      <c r="AA55" s="5">
        <f>$AQ$137</f>
        <v>0.59</v>
      </c>
      <c r="AB55" s="5">
        <f>$AQ$138</f>
        <v>0.59</v>
      </c>
      <c r="AD55">
        <v>13</v>
      </c>
      <c r="AE55">
        <v>0.84</v>
      </c>
      <c r="AF55">
        <v>0.82</v>
      </c>
      <c r="AG55">
        <v>0.8</v>
      </c>
      <c r="AH55">
        <v>0.77</v>
      </c>
      <c r="AI55">
        <v>0.74</v>
      </c>
      <c r="AJ55">
        <v>0.71</v>
      </c>
      <c r="AK55">
        <v>0.67</v>
      </c>
      <c r="AL55">
        <v>0.62</v>
      </c>
      <c r="AM55">
        <v>0.57</v>
      </c>
      <c r="AN55">
        <v>0.52</v>
      </c>
      <c r="AO55">
        <v>0.46</v>
      </c>
      <c r="AP55">
        <v>0.39</v>
      </c>
      <c r="AQ55">
        <v>0.31</v>
      </c>
      <c r="AR55">
        <v>0.22</v>
      </c>
      <c r="AS55">
        <v>0.12</v>
      </c>
      <c r="BD55">
        <v>12</v>
      </c>
      <c r="BI55">
        <v>5.9</v>
      </c>
      <c r="BJ55">
        <v>4.46</v>
      </c>
      <c r="CE55" t="s">
        <v>108</v>
      </c>
    </row>
    <row r="56" spans="1:62" ht="15" thickBot="1">
      <c r="A56" s="24"/>
      <c r="B56" t="s">
        <v>117</v>
      </c>
      <c r="G56" s="29">
        <v>10</v>
      </c>
      <c r="J56" t="s">
        <v>109</v>
      </c>
      <c r="M56" s="4">
        <f aca="true" t="shared" si="19" ref="M56:AB56">TRUNC(ROUND(M54*M55,0))</f>
        <v>0</v>
      </c>
      <c r="N56" s="4">
        <f t="shared" si="19"/>
        <v>13517</v>
      </c>
      <c r="O56" s="4">
        <f t="shared" si="19"/>
        <v>16807</v>
      </c>
      <c r="P56" s="4">
        <f t="shared" si="19"/>
        <v>17958</v>
      </c>
      <c r="Q56" s="4">
        <f t="shared" si="19"/>
        <v>18490</v>
      </c>
      <c r="R56" s="4">
        <f t="shared" si="19"/>
        <v>-11751</v>
      </c>
      <c r="S56" s="4">
        <f t="shared" si="19"/>
        <v>0</v>
      </c>
      <c r="T56" s="4">
        <f t="shared" si="19"/>
        <v>0</v>
      </c>
      <c r="U56" s="4">
        <f t="shared" si="19"/>
        <v>0</v>
      </c>
      <c r="V56" s="4">
        <f t="shared" si="19"/>
        <v>0</v>
      </c>
      <c r="W56" s="4">
        <f t="shared" si="19"/>
        <v>0</v>
      </c>
      <c r="X56" s="4">
        <f t="shared" si="19"/>
        <v>0</v>
      </c>
      <c r="Y56" s="4">
        <f t="shared" si="19"/>
        <v>0</v>
      </c>
      <c r="Z56" s="4">
        <f t="shared" si="19"/>
        <v>0</v>
      </c>
      <c r="AA56" s="4">
        <f t="shared" si="19"/>
        <v>0</v>
      </c>
      <c r="AB56" s="4">
        <f t="shared" si="19"/>
        <v>0</v>
      </c>
      <c r="AD56">
        <v>14</v>
      </c>
      <c r="AE56">
        <v>0.86</v>
      </c>
      <c r="AF56">
        <v>0.84</v>
      </c>
      <c r="AG56">
        <v>0.82</v>
      </c>
      <c r="AH56">
        <v>0.79</v>
      </c>
      <c r="AI56">
        <v>0.76</v>
      </c>
      <c r="AJ56">
        <v>0.73</v>
      </c>
      <c r="AK56">
        <v>0.69</v>
      </c>
      <c r="AL56">
        <v>0.65</v>
      </c>
      <c r="AM56">
        <v>0.6</v>
      </c>
      <c r="AN56">
        <v>0.54</v>
      </c>
      <c r="AO56">
        <v>0.48</v>
      </c>
      <c r="AP56">
        <v>0.41</v>
      </c>
      <c r="AQ56">
        <v>0.33</v>
      </c>
      <c r="AR56">
        <v>0.23</v>
      </c>
      <c r="AS56">
        <v>0.12</v>
      </c>
      <c r="BD56">
        <v>13</v>
      </c>
      <c r="BI56">
        <v>5.9</v>
      </c>
      <c r="BJ56">
        <v>4.46</v>
      </c>
    </row>
    <row r="57" spans="1:62" ht="15" thickBot="1">
      <c r="A57" s="24"/>
      <c r="B57" t="s">
        <v>118</v>
      </c>
      <c r="G57" s="29">
        <v>40000</v>
      </c>
      <c r="J57" t="s">
        <v>111</v>
      </c>
      <c r="M57" s="10"/>
      <c r="N57" s="15"/>
      <c r="O57" s="15">
        <f>SUM(M56:AB56)</f>
        <v>55021</v>
      </c>
      <c r="P57" s="15"/>
      <c r="Q57" s="15"/>
      <c r="R57" s="8"/>
      <c r="S57" s="15"/>
      <c r="T57" s="15"/>
      <c r="U57" s="15"/>
      <c r="V57" s="8"/>
      <c r="W57" s="8"/>
      <c r="X57" s="8"/>
      <c r="Y57" s="8"/>
      <c r="Z57" s="8"/>
      <c r="AA57" s="8"/>
      <c r="AB57" s="8"/>
      <c r="AD57">
        <v>15</v>
      </c>
      <c r="AE57">
        <v>0.88</v>
      </c>
      <c r="AF57">
        <v>0.86</v>
      </c>
      <c r="AG57">
        <v>0.84</v>
      </c>
      <c r="AH57">
        <v>0.81</v>
      </c>
      <c r="AI57">
        <v>0.79</v>
      </c>
      <c r="AJ57">
        <v>0.75</v>
      </c>
      <c r="AK57">
        <v>0.72</v>
      </c>
      <c r="AL57">
        <v>0.67</v>
      </c>
      <c r="AM57">
        <v>0.62</v>
      </c>
      <c r="AN57">
        <v>0.57</v>
      </c>
      <c r="AO57">
        <v>0.5</v>
      </c>
      <c r="AP57">
        <v>0.43</v>
      </c>
      <c r="AQ57">
        <v>0.34</v>
      </c>
      <c r="AR57">
        <v>0.24</v>
      </c>
      <c r="AS57">
        <v>0.13</v>
      </c>
      <c r="BD57">
        <v>14</v>
      </c>
      <c r="BI57">
        <v>5.9</v>
      </c>
      <c r="BJ57">
        <v>4.46</v>
      </c>
    </row>
    <row r="58" spans="1:62" ht="15" thickBot="1">
      <c r="A58" s="24"/>
      <c r="B58" t="s">
        <v>119</v>
      </c>
      <c r="G58" s="29">
        <v>15000</v>
      </c>
      <c r="AD58">
        <v>16</v>
      </c>
      <c r="AE58">
        <v>0.89</v>
      </c>
      <c r="AF58">
        <v>0.87</v>
      </c>
      <c r="AG58">
        <v>0.85</v>
      </c>
      <c r="AH58">
        <v>0.83</v>
      </c>
      <c r="AI58">
        <v>0.8</v>
      </c>
      <c r="AJ58">
        <v>0.77</v>
      </c>
      <c r="AK58">
        <v>0.74</v>
      </c>
      <c r="AL58">
        <v>0.69</v>
      </c>
      <c r="AM58">
        <v>0.65</v>
      </c>
      <c r="AN58">
        <v>0.59</v>
      </c>
      <c r="AO58">
        <v>0.52</v>
      </c>
      <c r="AP58">
        <v>0.45</v>
      </c>
      <c r="AQ58">
        <v>0.36</v>
      </c>
      <c r="AR58">
        <v>0.26</v>
      </c>
      <c r="AS58">
        <v>0.14</v>
      </c>
      <c r="BD58">
        <v>15</v>
      </c>
      <c r="BI58">
        <v>5.9</v>
      </c>
      <c r="BJ58">
        <v>4.46</v>
      </c>
    </row>
    <row r="59" spans="1:62" ht="15">
      <c r="A59" s="24"/>
      <c r="G59" s="30"/>
      <c r="BI59">
        <v>2.95</v>
      </c>
      <c r="BJ59">
        <v>4.46</v>
      </c>
    </row>
    <row r="60" spans="1:62" ht="15">
      <c r="A60" s="24"/>
      <c r="B60" s="23" t="s">
        <v>280</v>
      </c>
      <c r="G60" s="30"/>
      <c r="AJ60" t="s">
        <v>36</v>
      </c>
      <c r="BJ60">
        <v>4.46</v>
      </c>
    </row>
    <row r="61" spans="1:62" ht="15" thickBot="1">
      <c r="A61" s="24"/>
      <c r="B61" t="s">
        <v>120</v>
      </c>
      <c r="E61" s="28">
        <v>5</v>
      </c>
      <c r="AJ61" t="s">
        <v>38</v>
      </c>
      <c r="BJ61">
        <v>4.46</v>
      </c>
    </row>
    <row r="62" spans="1:62" ht="15" thickBot="1">
      <c r="A62" s="24"/>
      <c r="B62" t="s">
        <v>121</v>
      </c>
      <c r="E62" s="28">
        <v>9</v>
      </c>
      <c r="AJ62" t="s">
        <v>42</v>
      </c>
      <c r="BJ62">
        <v>4.46</v>
      </c>
    </row>
    <row r="63" spans="1:62" ht="15" thickBot="1">
      <c r="A63" s="24"/>
      <c r="B63" t="s">
        <v>122</v>
      </c>
      <c r="E63" s="28">
        <v>12</v>
      </c>
      <c r="AJ63" t="s">
        <v>112</v>
      </c>
      <c r="BJ63">
        <v>4.46</v>
      </c>
    </row>
    <row r="64" spans="1:62" ht="15">
      <c r="A64" s="24"/>
      <c r="G64" s="30"/>
      <c r="AJ64" t="s">
        <v>115</v>
      </c>
      <c r="BJ64">
        <v>2.24</v>
      </c>
    </row>
    <row r="65" spans="1:7" ht="15" thickBot="1">
      <c r="A65" s="24"/>
      <c r="B65" t="s">
        <v>124</v>
      </c>
      <c r="G65" s="29">
        <v>2000</v>
      </c>
    </row>
    <row r="66" spans="1:8" ht="15" thickBot="1">
      <c r="A66" s="24"/>
      <c r="B66" t="s">
        <v>126</v>
      </c>
      <c r="H66" s="28">
        <v>0</v>
      </c>
    </row>
    <row r="67" ht="15">
      <c r="A67" s="24"/>
    </row>
    <row r="68" spans="1:8" ht="15">
      <c r="A68" s="24" t="s">
        <v>127</v>
      </c>
      <c r="H68" s="3" t="s">
        <v>128</v>
      </c>
    </row>
    <row r="69" ht="15">
      <c r="A69" s="24"/>
    </row>
    <row r="70" spans="1:7" ht="15" thickBot="1">
      <c r="A70" s="24"/>
      <c r="B70" t="s">
        <v>130</v>
      </c>
      <c r="G70" s="29">
        <v>5</v>
      </c>
    </row>
    <row r="71" spans="1:10" ht="15.75" thickBot="1">
      <c r="A71" s="24"/>
      <c r="B71" t="s">
        <v>131</v>
      </c>
      <c r="G71" s="29">
        <v>40000</v>
      </c>
      <c r="J71" s="27" t="s">
        <v>123</v>
      </c>
    </row>
    <row r="72" spans="1:10" ht="15">
      <c r="A72" s="24"/>
      <c r="E72" s="35" t="str">
        <f>IF(G71&gt;E46,"Residual value exceeds the purchase cost","   ")</f>
        <v>   </v>
      </c>
      <c r="G72" s="30"/>
      <c r="J72" t="s">
        <v>125</v>
      </c>
    </row>
    <row r="73" ht="15">
      <c r="A73" t="s">
        <v>239</v>
      </c>
    </row>
    <row r="74" spans="2:5" ht="15" thickBot="1">
      <c r="B74" t="s">
        <v>240</v>
      </c>
      <c r="D74" s="29">
        <v>5</v>
      </c>
      <c r="E74" s="35" t="str">
        <f>IF(AND(D74&gt;15,D76&lt;&gt;0),"15 years is the maximum acceptable for fixed rate loans","   ")</f>
        <v>   </v>
      </c>
    </row>
    <row r="75" spans="2:12" ht="15" thickBot="1">
      <c r="B75" t="s">
        <v>241</v>
      </c>
      <c r="D75" s="29">
        <v>12</v>
      </c>
      <c r="E75" s="35" t="str">
        <f>IF(OR(D75=1,D75=12),"   ","Payments per year must be 1 or 12")</f>
        <v>   </v>
      </c>
      <c r="L75" t="s">
        <v>129</v>
      </c>
    </row>
    <row r="76" spans="2:17" ht="15" thickBot="1">
      <c r="B76" t="s">
        <v>242</v>
      </c>
      <c r="D76" s="29">
        <v>0</v>
      </c>
      <c r="E76" s="35" t="str">
        <f>IF(AND(D76&lt;&gt;0,E78&lt;&gt;0),"Both fixed and variable rates have been entered, fixed is used","   ")</f>
        <v>   </v>
      </c>
      <c r="Q76" t="s">
        <v>6</v>
      </c>
    </row>
    <row r="77" spans="2:28" ht="15">
      <c r="B77" s="23" t="s">
        <v>244</v>
      </c>
      <c r="E77" t="s">
        <v>243</v>
      </c>
      <c r="J77" t="s">
        <v>33</v>
      </c>
      <c r="M77" t="s">
        <v>34</v>
      </c>
      <c r="N77">
        <v>1</v>
      </c>
      <c r="O77">
        <v>2</v>
      </c>
      <c r="P77">
        <v>3</v>
      </c>
      <c r="Q77">
        <v>4</v>
      </c>
      <c r="R77">
        <v>5</v>
      </c>
      <c r="S77">
        <v>6</v>
      </c>
      <c r="T77">
        <v>7</v>
      </c>
      <c r="U77">
        <v>8</v>
      </c>
      <c r="V77">
        <v>9</v>
      </c>
      <c r="W77">
        <v>10</v>
      </c>
      <c r="X77">
        <v>11</v>
      </c>
      <c r="Y77">
        <v>12</v>
      </c>
      <c r="Z77">
        <v>13</v>
      </c>
      <c r="AA77">
        <v>14</v>
      </c>
      <c r="AB77">
        <v>15</v>
      </c>
    </row>
    <row r="78" spans="1:5" ht="15" thickBot="1">
      <c r="A78">
        <v>1</v>
      </c>
      <c r="C78" s="44">
        <v>6</v>
      </c>
      <c r="E78" s="47">
        <v>1</v>
      </c>
    </row>
    <row r="79" spans="1:28" ht="15.75" thickBot="1" thickTop="1">
      <c r="A79">
        <v>2</v>
      </c>
      <c r="C79" s="45">
        <v>7</v>
      </c>
      <c r="E79" s="45">
        <v>1</v>
      </c>
      <c r="F79" s="35" t="str">
        <f>IF(AND(SUM(E78:E84)&lt;MIN(D74,15),D76=0),"Number of years of interest rates must equal ","   ")</f>
        <v>   </v>
      </c>
      <c r="J79" t="s">
        <v>35</v>
      </c>
      <c r="M79" s="4">
        <f>B25</f>
        <v>22000</v>
      </c>
      <c r="N79" s="4">
        <f>B26</f>
        <v>20000</v>
      </c>
      <c r="O79" s="4">
        <f>B27</f>
        <v>20000</v>
      </c>
      <c r="P79" s="4">
        <f>B28</f>
        <v>20000</v>
      </c>
      <c r="Q79" s="4">
        <f>B29</f>
        <v>18000</v>
      </c>
      <c r="R79" s="4">
        <f>B30</f>
        <v>0</v>
      </c>
      <c r="S79" s="4">
        <f>B31</f>
        <v>0</v>
      </c>
      <c r="T79" s="4">
        <f>B32</f>
        <v>0</v>
      </c>
      <c r="U79" s="4">
        <f>B33</f>
        <v>0</v>
      </c>
      <c r="V79" s="4">
        <f>B34</f>
        <v>0</v>
      </c>
      <c r="W79" s="4">
        <f>B35</f>
        <v>0</v>
      </c>
      <c r="X79" s="4">
        <f>B36</f>
        <v>0</v>
      </c>
      <c r="Y79" s="4">
        <f>B37</f>
        <v>0</v>
      </c>
      <c r="Z79" s="4">
        <f>B38</f>
        <v>0</v>
      </c>
      <c r="AA79" s="4">
        <f>B39</f>
        <v>0</v>
      </c>
      <c r="AB79" s="4">
        <f>B40</f>
        <v>0</v>
      </c>
    </row>
    <row r="80" spans="1:28" ht="15.75" thickBot="1" thickTop="1">
      <c r="A80">
        <v>3</v>
      </c>
      <c r="C80" s="44">
        <v>8</v>
      </c>
      <c r="E80" s="48">
        <v>1</v>
      </c>
      <c r="F80" s="35" t="str">
        <f>IF(AND(SUM(E78:E84)&lt;MIN(D74,15),D76=0),"or exceed or the term of the loan or 15","   ")</f>
        <v>   </v>
      </c>
      <c r="J80" t="s">
        <v>37</v>
      </c>
      <c r="M80" s="5">
        <f>D25</f>
        <v>0</v>
      </c>
      <c r="N80" s="5">
        <f>D26</f>
        <v>0</v>
      </c>
      <c r="O80" s="5">
        <f>D27</f>
        <v>0</v>
      </c>
      <c r="P80" s="5">
        <f>D28</f>
        <v>0</v>
      </c>
      <c r="Q80" s="5">
        <f>D29</f>
        <v>0</v>
      </c>
      <c r="R80" s="5">
        <f>D30</f>
        <v>0</v>
      </c>
      <c r="S80" s="5">
        <f>D31</f>
        <v>0</v>
      </c>
      <c r="T80" s="5">
        <f>D32</f>
        <v>0</v>
      </c>
      <c r="U80" s="5">
        <f>D33</f>
        <v>0</v>
      </c>
      <c r="V80" s="5">
        <f>D34</f>
        <v>0</v>
      </c>
      <c r="W80" s="5">
        <f>D35</f>
        <v>0</v>
      </c>
      <c r="X80" s="5">
        <f>D36</f>
        <v>0</v>
      </c>
      <c r="Y80" s="5">
        <f>D37</f>
        <v>0</v>
      </c>
      <c r="Z80" s="5">
        <f>D38</f>
        <v>0</v>
      </c>
      <c r="AA80" s="5">
        <f>D39</f>
        <v>0</v>
      </c>
      <c r="AB80" s="5">
        <f>D40</f>
        <v>0</v>
      </c>
    </row>
    <row r="81" spans="1:28" ht="15.75" thickBot="1" thickTop="1">
      <c r="A81">
        <v>4</v>
      </c>
      <c r="C81" s="44">
        <v>9</v>
      </c>
      <c r="E81" s="45">
        <v>7</v>
      </c>
      <c r="J81" t="s">
        <v>135</v>
      </c>
      <c r="M81" s="4">
        <f aca="true" t="shared" si="20" ref="M81:AB81">M79+M80</f>
        <v>22000</v>
      </c>
      <c r="N81" s="4">
        <f t="shared" si="20"/>
        <v>20000</v>
      </c>
      <c r="O81" s="4">
        <f t="shared" si="20"/>
        <v>20000</v>
      </c>
      <c r="P81" s="4">
        <f t="shared" si="20"/>
        <v>20000</v>
      </c>
      <c r="Q81" s="4">
        <f t="shared" si="20"/>
        <v>18000</v>
      </c>
      <c r="R81" s="4">
        <f t="shared" si="20"/>
        <v>0</v>
      </c>
      <c r="S81" s="4">
        <f t="shared" si="20"/>
        <v>0</v>
      </c>
      <c r="T81" s="4">
        <f t="shared" si="20"/>
        <v>0</v>
      </c>
      <c r="U81" s="4">
        <f t="shared" si="20"/>
        <v>0</v>
      </c>
      <c r="V81" s="4">
        <f t="shared" si="20"/>
        <v>0</v>
      </c>
      <c r="W81" s="4">
        <f t="shared" si="20"/>
        <v>0</v>
      </c>
      <c r="X81" s="4">
        <f t="shared" si="20"/>
        <v>0</v>
      </c>
      <c r="Y81" s="4">
        <f t="shared" si="20"/>
        <v>0</v>
      </c>
      <c r="Z81" s="4">
        <f t="shared" si="20"/>
        <v>0</v>
      </c>
      <c r="AA81" s="4">
        <f t="shared" si="20"/>
        <v>0</v>
      </c>
      <c r="AB81" s="4">
        <f t="shared" si="20"/>
        <v>0</v>
      </c>
    </row>
    <row r="82" spans="1:28" ht="15.75" thickBot="1" thickTop="1">
      <c r="A82">
        <v>5</v>
      </c>
      <c r="C82" s="44"/>
      <c r="E82" s="49"/>
      <c r="J82" t="s">
        <v>137</v>
      </c>
      <c r="M82" s="4"/>
      <c r="N82" s="9">
        <f>TRUNC(ROUND(IF(AND(N77&gt;$G$55,N77&lt;=MINA($G$56,$E$61+$G$55)),(PMT($E$62/100/$E$63,$E$61*$E$63,-$G$57)*$E$63),0),0))</f>
        <v>0</v>
      </c>
      <c r="O82" s="9">
        <f aca="true" t="shared" si="21" ref="O82:AB82">TRUNC(ROUND(IF(AND(O77&gt;$G$55,O77&lt;=MINA($G$56,$E$61+$G$55)),(PMT($E$62/100/$E$63,$E$61*$E$63,-$G$57)*$E$63),0),0))</f>
        <v>0</v>
      </c>
      <c r="P82" s="9">
        <f t="shared" si="21"/>
        <v>0</v>
      </c>
      <c r="Q82" s="9">
        <f t="shared" si="21"/>
        <v>0</v>
      </c>
      <c r="R82" s="9">
        <f t="shared" si="21"/>
        <v>0</v>
      </c>
      <c r="S82" s="9">
        <f t="shared" si="21"/>
        <v>9964</v>
      </c>
      <c r="T82" s="9">
        <f t="shared" si="21"/>
        <v>9964</v>
      </c>
      <c r="U82" s="9">
        <f t="shared" si="21"/>
        <v>9964</v>
      </c>
      <c r="V82" s="9">
        <f t="shared" si="21"/>
        <v>9964</v>
      </c>
      <c r="W82" s="9">
        <f t="shared" si="21"/>
        <v>9964</v>
      </c>
      <c r="X82" s="9">
        <f t="shared" si="21"/>
        <v>0</v>
      </c>
      <c r="Y82" s="9">
        <f t="shared" si="21"/>
        <v>0</v>
      </c>
      <c r="Z82" s="9">
        <f t="shared" si="21"/>
        <v>0</v>
      </c>
      <c r="AA82" s="9">
        <f t="shared" si="21"/>
        <v>0</v>
      </c>
      <c r="AB82" s="9">
        <f t="shared" si="21"/>
        <v>0</v>
      </c>
    </row>
    <row r="83" spans="1:28" ht="15.75" thickBot="1" thickTop="1">
      <c r="A83">
        <v>6</v>
      </c>
      <c r="C83" s="44"/>
      <c r="E83" s="45"/>
      <c r="J83" t="s">
        <v>139</v>
      </c>
      <c r="M83" s="5"/>
      <c r="N83" s="5">
        <f>IF(N82&lt;=0,0,IF($E$63&lt;1.5,HLOOKUP(15-$G$55-$E$61+1,$AE$45:$AN$58,$AC$85-3+1),HLOOKUP(15-$G$55-$E$61+1,$AE$7:$AS$20,$AC$85-3+1)))</f>
        <v>0</v>
      </c>
      <c r="O83" s="5">
        <f>IF(O82&lt;=0,0,IF($E$63&lt;1.5,HLOOKUP(16-$G$55-$E$61+1,$AE$45:$AN$58,$AC$85-3+1),HLOOKUP(16-$G$55-$E$61+1,$AE$7:$AS$20,$AC$85-3+1)))</f>
        <v>0</v>
      </c>
      <c r="P83" s="5">
        <f>IF(P82&lt;=0,0,IF($E$63&lt;1.5,HLOOKUP(17-$G$55-$E$61+1,$AE$45:$AN$58,$AC$85-3+1),HLOOKUP(17-$G$55-$E$61+1,$AE$7:$AS$20,$AC$85-3+1)))</f>
        <v>0</v>
      </c>
      <c r="Q83" s="5">
        <f>IF(Q82&lt;=0,0,IF($E$63&lt;1.5,HLOOKUP(18-$G$55-$E$61+1,$AE$45:$AN$58,$AC$85-3+1),HLOOKUP(18-$G$55-$E$61+1,$AE$7:$AS$20,$AC$85-3+1)))</f>
        <v>0</v>
      </c>
      <c r="R83" s="5">
        <f>IF(R82&lt;=0,0,IF($E$63&lt;1.5,HLOOKUP(19-$G$55-$E$61+1,$AE$45:$AN$58,$AC$85-3+1),HLOOKUP(19-$G$55-$E$61+1,$AE$7:$AS$20,$AC$85-3+1)))</f>
        <v>0</v>
      </c>
      <c r="S83" s="5">
        <f>IF(S82&lt;=0,0,IF($E$63&lt;1.5,HLOOKUP(20-$G$55-$E$61+1,$AE$45:$AN$58,$AC$85-3+1),HLOOKUP(20-$G$55-$E$61+1,$AE$7:$AS$20,$AC$85-3+1)))</f>
        <v>0.33</v>
      </c>
      <c r="T83" s="5">
        <f>IF(T82&lt;=0,0,IF($E$63&lt;1.5,HLOOKUP(21-$G$55-$E$61+1,$AE$45:$AN$58,$AC$85-3+1),HLOOKUP(21-$G$55-$E$61+1,$AE$7:$AS$20,$AC$85-3+1)))</f>
        <v>0.27</v>
      </c>
      <c r="U83" s="5">
        <f>IF(U82&lt;=0,0,IF($E$63&lt;1.5,HLOOKUP(22-$G$55-$E$61+1,$AE$45:$AN$58,$AC$85-3+1),HLOOKUP(22-$G$55-$E$61+1,$AE$7:$AS$20,$AC$85-3+1)))</f>
        <v>0.2</v>
      </c>
      <c r="V83" s="5">
        <f>IF(V82&lt;=0,0,IF($E$63&lt;1.5,HLOOKUP(23-$G$55-$E$61+1,$AE$45:$AN$58,$AC$85-3+1),HLOOKUP(23-$G$55-$E$61+1,$AE$7:$AS$20,$AC$85-3+1)))</f>
        <v>0.13</v>
      </c>
      <c r="W83" s="5">
        <f>IF(W82&lt;=0,0,IF($E$63&lt;1.5,HLOOKUP(24-$G$55-$E$61+1,$AE$45:$AN$58,$AC$85-3+1),HLOOKUP(24-$G$55-$E$61+1,$AE$7:$AS$20,$AC$85-3+1)))</f>
        <v>0.05</v>
      </c>
      <c r="X83" s="5">
        <f>IF(X82&lt;=0,0,IF($E$63&lt;1.5,HLOOKUP(25-$G$55-$E$61+1,$AE$45:$AN$58,$AC$85-3+1),HLOOKUP(25-$G$55-$E$61+1,$AE$7:$AS$20,$AC$85-3+1)))</f>
        <v>0</v>
      </c>
      <c r="Y83" s="5">
        <f>IF(Y82&lt;=0,0,IF($E$63&lt;1.5,HLOOKUP(26-$G$55-$E$61+1,$AE$45:$AN$58,$AC$85-3+1),HLOOKUP(26-$G$55-$E$61+1,$AE$7:$AS$20,$AC$85-3+1)))</f>
        <v>0</v>
      </c>
      <c r="Z83" s="5">
        <f>IF(Z82&lt;=0,0,IF($E$63&lt;1.5,HLOOKUP(27-$G$55-$E$61+1,$AE$45:$AN$58,$AC$85-3+1),HLOOKUP(27-$G$55-$E$61+1,$AE$7:$AS$20,$AC$85-3+1)))</f>
        <v>0</v>
      </c>
      <c r="AA83" s="5">
        <f>IF(AA82&lt;=0,0,IF($E$63&lt;1.5,HLOOKUP(28-$G$55-$E$61+1,$AE$45:$AN$58,$AC$85-3+1),HLOOKUP(28-$G$55-$E$61+1,$AE$7:$AS$20,$AC$85-3+1)))</f>
        <v>0</v>
      </c>
      <c r="AB83" s="5">
        <f>IF(AB82&lt;=0,0,IF($E$63&lt;1.5,HLOOKUP(29-$G$55-$E$61+1,$AE$45:$AN$58,$AC$85-3+1),HLOOKUP(29-$G$55-$E$61+1,$AE$7:$AS$20,$AC$85-3+1)))</f>
        <v>0</v>
      </c>
    </row>
    <row r="84" spans="1:28" ht="15.75" thickBot="1" thickTop="1">
      <c r="A84">
        <v>7</v>
      </c>
      <c r="C84" s="46"/>
      <c r="E84" s="45"/>
      <c r="J84" t="s">
        <v>140</v>
      </c>
      <c r="M84" s="4"/>
      <c r="N84" s="9">
        <f aca="true" t="shared" si="22" ref="N84:AB84">TRUNC(ROUND(+N82*N83,0))</f>
        <v>0</v>
      </c>
      <c r="O84" s="9">
        <f t="shared" si="22"/>
        <v>0</v>
      </c>
      <c r="P84" s="9">
        <f t="shared" si="22"/>
        <v>0</v>
      </c>
      <c r="Q84" s="9">
        <f t="shared" si="22"/>
        <v>0</v>
      </c>
      <c r="R84" s="9">
        <f t="shared" si="22"/>
        <v>0</v>
      </c>
      <c r="S84" s="9">
        <f t="shared" si="22"/>
        <v>3288</v>
      </c>
      <c r="T84" s="9">
        <f t="shared" si="22"/>
        <v>2690</v>
      </c>
      <c r="U84" s="9">
        <f t="shared" si="22"/>
        <v>1993</v>
      </c>
      <c r="V84" s="9">
        <f t="shared" si="22"/>
        <v>1295</v>
      </c>
      <c r="W84" s="9">
        <f t="shared" si="22"/>
        <v>498</v>
      </c>
      <c r="X84" s="9">
        <f t="shared" si="22"/>
        <v>0</v>
      </c>
      <c r="Y84" s="9">
        <f t="shared" si="22"/>
        <v>0</v>
      </c>
      <c r="Z84" s="9">
        <f t="shared" si="22"/>
        <v>0</v>
      </c>
      <c r="AA84" s="9">
        <f t="shared" si="22"/>
        <v>0</v>
      </c>
      <c r="AB84" s="9">
        <f t="shared" si="22"/>
        <v>0</v>
      </c>
    </row>
    <row r="85" spans="10:29" ht="15">
      <c r="J85" t="s">
        <v>143</v>
      </c>
      <c r="M85" s="4"/>
      <c r="N85" s="9">
        <f aca="true" t="shared" si="23" ref="N85:AB85">TRUNC((IF(AND(N77&gt;$G$55,N77&lt;=MINA($G$56,$G$55+$E$43)),(HLOOKUP($E$43,$BE$43:$BJ$58,N77-$G$55+1)/100*MAXA($G$57-$H$66,0))+IF(N77=$G$55+1,MINA($H$66,$G$57),0),0))+0.5001)</f>
        <v>0</v>
      </c>
      <c r="O85" s="9">
        <f t="shared" si="23"/>
        <v>0</v>
      </c>
      <c r="P85" s="9">
        <f t="shared" si="23"/>
        <v>0</v>
      </c>
      <c r="Q85" s="9">
        <f t="shared" si="23"/>
        <v>0</v>
      </c>
      <c r="R85" s="9">
        <f t="shared" si="23"/>
        <v>0</v>
      </c>
      <c r="S85" s="9">
        <f t="shared" si="23"/>
        <v>4284</v>
      </c>
      <c r="T85" s="9">
        <f t="shared" si="23"/>
        <v>7652</v>
      </c>
      <c r="U85" s="9">
        <f t="shared" si="23"/>
        <v>6012</v>
      </c>
      <c r="V85" s="9">
        <f t="shared" si="23"/>
        <v>4900</v>
      </c>
      <c r="W85" s="9">
        <f t="shared" si="23"/>
        <v>4900</v>
      </c>
      <c r="X85" s="9">
        <f t="shared" si="23"/>
        <v>0</v>
      </c>
      <c r="Y85" s="9">
        <f t="shared" si="23"/>
        <v>0</v>
      </c>
      <c r="Z85" s="9">
        <f t="shared" si="23"/>
        <v>0</v>
      </c>
      <c r="AA85" s="9">
        <f t="shared" si="23"/>
        <v>0</v>
      </c>
      <c r="AB85" s="9">
        <f t="shared" si="23"/>
        <v>0</v>
      </c>
      <c r="AC85">
        <f>IF(E62&lt;4,4,E62)</f>
        <v>9</v>
      </c>
    </row>
    <row r="86" spans="2:28" ht="15" thickBot="1">
      <c r="B86" s="33" t="s">
        <v>208</v>
      </c>
      <c r="C86" s="31"/>
      <c r="D86" s="31"/>
      <c r="E86" s="31"/>
      <c r="F86" s="31"/>
      <c r="I86" s="34"/>
      <c r="J86" t="s">
        <v>144</v>
      </c>
      <c r="M86" s="5">
        <f>G25</f>
        <v>0</v>
      </c>
      <c r="N86" s="5">
        <f>G26</f>
        <v>0</v>
      </c>
      <c r="O86" s="5">
        <f>G27</f>
        <v>0</v>
      </c>
      <c r="P86" s="5">
        <f>G28</f>
        <v>0</v>
      </c>
      <c r="Q86" s="5">
        <f>G29</f>
        <v>0</v>
      </c>
      <c r="R86" s="5">
        <f>G30</f>
        <v>0</v>
      </c>
      <c r="S86" s="5">
        <f>G31</f>
        <v>0</v>
      </c>
      <c r="T86" s="5">
        <f>G32</f>
        <v>0</v>
      </c>
      <c r="U86" s="12">
        <f>G33</f>
        <v>0</v>
      </c>
      <c r="V86" s="12">
        <f>G34</f>
        <v>0</v>
      </c>
      <c r="W86" s="12">
        <f>G35</f>
        <v>0</v>
      </c>
      <c r="X86" s="12">
        <f>G36</f>
        <v>0</v>
      </c>
      <c r="Y86" s="12">
        <f>G37</f>
        <v>0</v>
      </c>
      <c r="Z86" s="12">
        <f>G38</f>
        <v>0</v>
      </c>
      <c r="AA86" s="12">
        <f>G39</f>
        <v>0</v>
      </c>
      <c r="AB86" s="12"/>
    </row>
    <row r="87" spans="4:28" ht="15">
      <c r="D87" s="23" t="s">
        <v>204</v>
      </c>
      <c r="F87" t="s">
        <v>206</v>
      </c>
      <c r="J87" t="s">
        <v>145</v>
      </c>
      <c r="M87" s="9">
        <f aca="true" t="shared" si="24" ref="M87:AB87">TRUNC(ROUND(+M84+M85+M86,0))</f>
        <v>0</v>
      </c>
      <c r="N87" s="9">
        <f t="shared" si="24"/>
        <v>0</v>
      </c>
      <c r="O87" s="9">
        <f t="shared" si="24"/>
        <v>0</v>
      </c>
      <c r="P87" s="9">
        <f t="shared" si="24"/>
        <v>0</v>
      </c>
      <c r="Q87" s="9">
        <f t="shared" si="24"/>
        <v>0</v>
      </c>
      <c r="R87" s="9">
        <f t="shared" si="24"/>
        <v>0</v>
      </c>
      <c r="S87" s="9">
        <f t="shared" si="24"/>
        <v>7572</v>
      </c>
      <c r="T87" s="9">
        <f t="shared" si="24"/>
        <v>10342</v>
      </c>
      <c r="U87" s="9">
        <f t="shared" si="24"/>
        <v>8005</v>
      </c>
      <c r="V87" s="9">
        <f t="shared" si="24"/>
        <v>6195</v>
      </c>
      <c r="W87" s="9">
        <f t="shared" si="24"/>
        <v>5398</v>
      </c>
      <c r="X87" s="9">
        <f t="shared" si="24"/>
        <v>0</v>
      </c>
      <c r="Y87" s="9">
        <f t="shared" si="24"/>
        <v>0</v>
      </c>
      <c r="Z87" s="9">
        <f t="shared" si="24"/>
        <v>0</v>
      </c>
      <c r="AA87" s="9">
        <f t="shared" si="24"/>
        <v>0</v>
      </c>
      <c r="AB87" s="9">
        <f t="shared" si="24"/>
        <v>0</v>
      </c>
    </row>
    <row r="88" spans="2:28" ht="15">
      <c r="B88" t="s">
        <v>202</v>
      </c>
      <c r="C88" t="s">
        <v>203</v>
      </c>
      <c r="D88" t="s">
        <v>205</v>
      </c>
      <c r="F88" t="s">
        <v>207</v>
      </c>
      <c r="J88" t="s">
        <v>146</v>
      </c>
      <c r="M88" s="4"/>
      <c r="N88" s="4"/>
      <c r="O88" s="4"/>
      <c r="P88" s="4"/>
      <c r="Q88" s="4"/>
      <c r="R88" s="4"/>
      <c r="S88" s="4"/>
      <c r="T88" s="4"/>
      <c r="U88" s="13"/>
      <c r="V88" s="13"/>
      <c r="W88" s="13"/>
      <c r="X88" s="13"/>
      <c r="Y88" s="13"/>
      <c r="Z88" s="13"/>
      <c r="AA88" s="13"/>
      <c r="AB88" s="13"/>
    </row>
    <row r="89" spans="1:28" ht="15" thickBot="1">
      <c r="A89">
        <v>1</v>
      </c>
      <c r="B89" s="50">
        <v>27</v>
      </c>
      <c r="C89" s="46">
        <v>6.85</v>
      </c>
      <c r="D89" s="46">
        <v>15.3</v>
      </c>
      <c r="F89" s="28">
        <v>1</v>
      </c>
      <c r="J89" t="s">
        <v>147</v>
      </c>
      <c r="K89" t="s">
        <v>82</v>
      </c>
      <c r="M89" s="4"/>
      <c r="N89" s="4">
        <f aca="true" t="shared" si="25" ref="N89:AB89">IF(N77=$G$56,$G$58,0)</f>
        <v>0</v>
      </c>
      <c r="O89" s="4">
        <f t="shared" si="25"/>
        <v>0</v>
      </c>
      <c r="P89" s="4">
        <f t="shared" si="25"/>
        <v>0</v>
      </c>
      <c r="Q89" s="4">
        <f t="shared" si="25"/>
        <v>0</v>
      </c>
      <c r="R89" s="4">
        <f t="shared" si="25"/>
        <v>0</v>
      </c>
      <c r="S89" s="4">
        <f t="shared" si="25"/>
        <v>0</v>
      </c>
      <c r="T89" s="4">
        <f t="shared" si="25"/>
        <v>0</v>
      </c>
      <c r="U89" s="4">
        <f t="shared" si="25"/>
        <v>0</v>
      </c>
      <c r="V89" s="4">
        <f t="shared" si="25"/>
        <v>0</v>
      </c>
      <c r="W89" s="4">
        <f t="shared" si="25"/>
        <v>15000</v>
      </c>
      <c r="X89" s="4">
        <f t="shared" si="25"/>
        <v>0</v>
      </c>
      <c r="Y89" s="4">
        <f t="shared" si="25"/>
        <v>0</v>
      </c>
      <c r="Z89" s="4">
        <f t="shared" si="25"/>
        <v>0</v>
      </c>
      <c r="AA89" s="4">
        <f t="shared" si="25"/>
        <v>0</v>
      </c>
      <c r="AB89" s="4">
        <f t="shared" si="25"/>
        <v>0</v>
      </c>
    </row>
    <row r="90" spans="1:28" ht="15" thickBot="1">
      <c r="A90">
        <v>2</v>
      </c>
      <c r="B90" s="28">
        <v>15</v>
      </c>
      <c r="C90" s="28">
        <v>5.9</v>
      </c>
      <c r="D90" s="28">
        <v>15.3</v>
      </c>
      <c r="F90" s="28">
        <v>9</v>
      </c>
      <c r="G90" s="35" t="str">
        <f>IF(SUM(F$89:F$95)&lt;G$56,"Tax data provided for fewer years","   ")</f>
        <v>   </v>
      </c>
      <c r="J90" t="s">
        <v>148</v>
      </c>
      <c r="K90" t="s">
        <v>86</v>
      </c>
      <c r="M90" s="4"/>
      <c r="N90" s="4">
        <f aca="true" t="shared" si="26" ref="N90:AB90">IF(N77=$G$56,$G$57-SUM($N$85:$AB$85),0)</f>
        <v>0</v>
      </c>
      <c r="O90" s="4">
        <f t="shared" si="26"/>
        <v>0</v>
      </c>
      <c r="P90" s="4">
        <f t="shared" si="26"/>
        <v>0</v>
      </c>
      <c r="Q90" s="4">
        <f t="shared" si="26"/>
        <v>0</v>
      </c>
      <c r="R90" s="4">
        <f t="shared" si="26"/>
        <v>0</v>
      </c>
      <c r="S90" s="4">
        <f t="shared" si="26"/>
        <v>0</v>
      </c>
      <c r="T90" s="4">
        <f t="shared" si="26"/>
        <v>0</v>
      </c>
      <c r="U90" s="4">
        <f t="shared" si="26"/>
        <v>0</v>
      </c>
      <c r="V90" s="4">
        <f t="shared" si="26"/>
        <v>0</v>
      </c>
      <c r="W90" s="4">
        <f t="shared" si="26"/>
        <v>12252</v>
      </c>
      <c r="X90" s="4">
        <f t="shared" si="26"/>
        <v>0</v>
      </c>
      <c r="Y90" s="4">
        <f t="shared" si="26"/>
        <v>0</v>
      </c>
      <c r="Z90" s="4">
        <f t="shared" si="26"/>
        <v>0</v>
      </c>
      <c r="AA90" s="4">
        <f t="shared" si="26"/>
        <v>0</v>
      </c>
      <c r="AB90" s="4">
        <f t="shared" si="26"/>
        <v>0</v>
      </c>
    </row>
    <row r="91" spans="1:28" ht="15" thickBot="1">
      <c r="A91">
        <v>3</v>
      </c>
      <c r="B91" s="28"/>
      <c r="C91" s="28"/>
      <c r="D91" s="28"/>
      <c r="F91" s="28"/>
      <c r="G91" s="35" t="str">
        <f>IF(SUM(F$89:F$95)&lt;G$56,"than analysis period","   ")</f>
        <v>   </v>
      </c>
      <c r="J91" t="s">
        <v>149</v>
      </c>
      <c r="K91" t="s">
        <v>88</v>
      </c>
      <c r="M91" s="4">
        <f aca="true" t="shared" si="27" ref="M91:AB91">M89-M90</f>
        <v>0</v>
      </c>
      <c r="N91" s="4">
        <f t="shared" si="27"/>
        <v>0</v>
      </c>
      <c r="O91" s="4">
        <f t="shared" si="27"/>
        <v>0</v>
      </c>
      <c r="P91" s="4">
        <f t="shared" si="27"/>
        <v>0</v>
      </c>
      <c r="Q91" s="4">
        <f t="shared" si="27"/>
        <v>0</v>
      </c>
      <c r="R91" s="4">
        <f t="shared" si="27"/>
        <v>0</v>
      </c>
      <c r="S91" s="4">
        <f t="shared" si="27"/>
        <v>0</v>
      </c>
      <c r="T91" s="4">
        <f t="shared" si="27"/>
        <v>0</v>
      </c>
      <c r="U91" s="4">
        <f t="shared" si="27"/>
        <v>0</v>
      </c>
      <c r="V91" s="4">
        <f t="shared" si="27"/>
        <v>0</v>
      </c>
      <c r="W91" s="4">
        <f t="shared" si="27"/>
        <v>2748</v>
      </c>
      <c r="X91" s="4">
        <f t="shared" si="27"/>
        <v>0</v>
      </c>
      <c r="Y91" s="4">
        <f t="shared" si="27"/>
        <v>0</v>
      </c>
      <c r="Z91" s="4">
        <f t="shared" si="27"/>
        <v>0</v>
      </c>
      <c r="AA91" s="4">
        <f t="shared" si="27"/>
        <v>0</v>
      </c>
      <c r="AB91" s="4">
        <f t="shared" si="27"/>
        <v>0</v>
      </c>
    </row>
    <row r="92" spans="1:28" ht="15" thickBot="1">
      <c r="A92">
        <v>4</v>
      </c>
      <c r="B92" s="28"/>
      <c r="C92" s="28"/>
      <c r="D92" s="28"/>
      <c r="F92" s="28"/>
      <c r="J92" t="s">
        <v>151</v>
      </c>
      <c r="K92" t="s">
        <v>152</v>
      </c>
      <c r="M92" s="4"/>
      <c r="N92" s="4">
        <f>IF($G$56&lt;$G$55+$E$61,IF(N77=$G$56,$G$57-(SUM($N$82:$AB$82)-SUM($N$84:$AB$84)),0),0)</f>
        <v>0</v>
      </c>
      <c r="O92" s="4">
        <f aca="true" t="shared" si="28" ref="O92:Z92">IF($G$56&lt;$G$55+$E$61,IF(O77=$G$56,$G$57-(SUM($N$82:$AB$82)-SUM($N$84:$AB$84)),0),0)</f>
        <v>0</v>
      </c>
      <c r="P92" s="4">
        <f t="shared" si="28"/>
        <v>0</v>
      </c>
      <c r="Q92" s="4">
        <f t="shared" si="28"/>
        <v>0</v>
      </c>
      <c r="R92" s="4">
        <f t="shared" si="28"/>
        <v>0</v>
      </c>
      <c r="S92" s="4">
        <f t="shared" si="28"/>
        <v>0</v>
      </c>
      <c r="T92" s="4">
        <f t="shared" si="28"/>
        <v>0</v>
      </c>
      <c r="U92" s="4">
        <f t="shared" si="28"/>
        <v>0</v>
      </c>
      <c r="V92" s="4">
        <f t="shared" si="28"/>
        <v>0</v>
      </c>
      <c r="W92" s="4">
        <f t="shared" si="28"/>
        <v>0</v>
      </c>
      <c r="X92" s="4">
        <f t="shared" si="28"/>
        <v>0</v>
      </c>
      <c r="Y92" s="4">
        <f t="shared" si="28"/>
        <v>0</v>
      </c>
      <c r="Z92" s="4">
        <f t="shared" si="28"/>
        <v>0</v>
      </c>
      <c r="AA92" s="4">
        <f>IF(T63&lt;T62+R68,IF(AA77=$G$56,$G$57-(SUM($N$82:$AB$82)-SUM($N$84:$AB$84)),0),0)</f>
        <v>0</v>
      </c>
      <c r="AB92" s="4">
        <f>IF(U63&lt;U62+S68,IF(AB77=$G$56,$G$57-(SUM($N$82:$AB$82)-SUM($N$84:$AB$84)),0),0)</f>
        <v>0</v>
      </c>
    </row>
    <row r="93" spans="1:28" ht="15" thickBot="1">
      <c r="A93">
        <v>5</v>
      </c>
      <c r="B93" s="28"/>
      <c r="C93" s="28"/>
      <c r="D93" s="28"/>
      <c r="F93" s="28"/>
      <c r="G93" s="35" t="str">
        <f>IF(SUM(F$89:F$95)&lt;G$70,"Tax data provided for fewer years","   ")</f>
        <v>   </v>
      </c>
      <c r="J93" t="s">
        <v>153</v>
      </c>
      <c r="M93" s="4">
        <f aca="true" t="shared" si="29" ref="M93:AB93">M81+M87-M91</f>
        <v>22000</v>
      </c>
      <c r="N93" s="4">
        <f t="shared" si="29"/>
        <v>20000</v>
      </c>
      <c r="O93" s="4">
        <f t="shared" si="29"/>
        <v>20000</v>
      </c>
      <c r="P93" s="4">
        <f t="shared" si="29"/>
        <v>20000</v>
      </c>
      <c r="Q93" s="4">
        <f t="shared" si="29"/>
        <v>18000</v>
      </c>
      <c r="R93" s="4">
        <f t="shared" si="29"/>
        <v>0</v>
      </c>
      <c r="S93" s="4">
        <f t="shared" si="29"/>
        <v>7572</v>
      </c>
      <c r="T93" s="4">
        <f t="shared" si="29"/>
        <v>10342</v>
      </c>
      <c r="U93" s="4">
        <f t="shared" si="29"/>
        <v>8005</v>
      </c>
      <c r="V93" s="4">
        <f t="shared" si="29"/>
        <v>6195</v>
      </c>
      <c r="W93" s="4">
        <f t="shared" si="29"/>
        <v>2650</v>
      </c>
      <c r="X93" s="4">
        <f t="shared" si="29"/>
        <v>0</v>
      </c>
      <c r="Y93" s="4">
        <f t="shared" si="29"/>
        <v>0</v>
      </c>
      <c r="Z93" s="4">
        <f t="shared" si="29"/>
        <v>0</v>
      </c>
      <c r="AA93" s="4">
        <f t="shared" si="29"/>
        <v>0</v>
      </c>
      <c r="AB93" s="4">
        <f t="shared" si="29"/>
        <v>0</v>
      </c>
    </row>
    <row r="94" spans="1:28" ht="15" thickBot="1">
      <c r="A94">
        <v>6</v>
      </c>
      <c r="B94" s="28"/>
      <c r="C94" s="28"/>
      <c r="D94" s="28"/>
      <c r="F94" s="28"/>
      <c r="G94" s="35" t="str">
        <f>IF(SUM(F$89:F$95)&lt;G$70,"than lease period","   ")</f>
        <v>   </v>
      </c>
      <c r="J94" t="s">
        <v>155</v>
      </c>
      <c r="M94" s="22">
        <f>N94</f>
        <v>0.46</v>
      </c>
      <c r="N94" s="22">
        <f>$AO$101/100</f>
        <v>0.46</v>
      </c>
      <c r="O94" s="22">
        <f>$AO$102/100</f>
        <v>0.34</v>
      </c>
      <c r="P94" s="22">
        <f>$AO$103/100</f>
        <v>0.34</v>
      </c>
      <c r="Q94" s="22">
        <f>$AO$104/100</f>
        <v>0.34</v>
      </c>
      <c r="R94" s="22">
        <f>$AO$105/100</f>
        <v>0.34</v>
      </c>
      <c r="S94" s="22">
        <f>$AO$106/100</f>
        <v>0.34</v>
      </c>
      <c r="T94" s="22">
        <f>$AO$107/100</f>
        <v>0.34</v>
      </c>
      <c r="U94" s="22">
        <f>$AO$108/100</f>
        <v>0.34</v>
      </c>
      <c r="V94" s="22">
        <f>$AO$109/100</f>
        <v>0.34</v>
      </c>
      <c r="W94" s="22">
        <f>$AO$110/100</f>
        <v>0.34</v>
      </c>
      <c r="X94" s="22">
        <f>$AO$111/100</f>
        <v>0</v>
      </c>
      <c r="Y94" s="22">
        <f>$AO$112/100</f>
        <v>0</v>
      </c>
      <c r="Z94" s="22">
        <f>$AO$113/100</f>
        <v>0</v>
      </c>
      <c r="AA94" s="22">
        <f>$AO$114/100</f>
        <v>0</v>
      </c>
      <c r="AB94" s="22">
        <f>$AO$115/100</f>
        <v>0</v>
      </c>
    </row>
    <row r="95" spans="1:28" ht="15" thickBot="1">
      <c r="A95">
        <v>7</v>
      </c>
      <c r="B95" s="46"/>
      <c r="C95" s="46"/>
      <c r="D95" s="46"/>
      <c r="E95" s="32"/>
      <c r="F95" s="28"/>
      <c r="J95" t="s">
        <v>156</v>
      </c>
      <c r="M95" s="4">
        <f aca="true" t="shared" si="30" ref="M95:AB95">TRUNC(ROUND(+M93*M94,0))</f>
        <v>10120</v>
      </c>
      <c r="N95" s="4">
        <f t="shared" si="30"/>
        <v>9200</v>
      </c>
      <c r="O95" s="4">
        <f t="shared" si="30"/>
        <v>6800</v>
      </c>
      <c r="P95" s="4">
        <f t="shared" si="30"/>
        <v>6800</v>
      </c>
      <c r="Q95" s="4">
        <f t="shared" si="30"/>
        <v>6120</v>
      </c>
      <c r="R95" s="4">
        <f t="shared" si="30"/>
        <v>0</v>
      </c>
      <c r="S95" s="4">
        <f t="shared" si="30"/>
        <v>2574</v>
      </c>
      <c r="T95" s="4">
        <f t="shared" si="30"/>
        <v>3516</v>
      </c>
      <c r="U95" s="4">
        <f t="shared" si="30"/>
        <v>2722</v>
      </c>
      <c r="V95" s="4">
        <f t="shared" si="30"/>
        <v>2106</v>
      </c>
      <c r="W95" s="4">
        <f t="shared" si="30"/>
        <v>901</v>
      </c>
      <c r="X95" s="4">
        <f t="shared" si="30"/>
        <v>0</v>
      </c>
      <c r="Y95" s="4">
        <f t="shared" si="30"/>
        <v>0</v>
      </c>
      <c r="Z95" s="4">
        <f t="shared" si="30"/>
        <v>0</v>
      </c>
      <c r="AA95" s="4">
        <f t="shared" si="30"/>
        <v>0</v>
      </c>
      <c r="AB95" s="4">
        <f t="shared" si="30"/>
        <v>0</v>
      </c>
    </row>
    <row r="96" spans="10:44" ht="15">
      <c r="J96" t="s">
        <v>159</v>
      </c>
      <c r="M96" s="4">
        <f aca="true" t="shared" si="31" ref="M96:AB96">M81+M82+M86-M89+M92</f>
        <v>22000</v>
      </c>
      <c r="N96" s="4">
        <f t="shared" si="31"/>
        <v>20000</v>
      </c>
      <c r="O96" s="4">
        <f t="shared" si="31"/>
        <v>20000</v>
      </c>
      <c r="P96" s="4">
        <f t="shared" si="31"/>
        <v>20000</v>
      </c>
      <c r="Q96" s="4">
        <f t="shared" si="31"/>
        <v>18000</v>
      </c>
      <c r="R96" s="4">
        <f t="shared" si="31"/>
        <v>0</v>
      </c>
      <c r="S96" s="4">
        <f t="shared" si="31"/>
        <v>9964</v>
      </c>
      <c r="T96" s="4">
        <f t="shared" si="31"/>
        <v>9964</v>
      </c>
      <c r="U96" s="4">
        <f t="shared" si="31"/>
        <v>9964</v>
      </c>
      <c r="V96" s="4">
        <f t="shared" si="31"/>
        <v>9964</v>
      </c>
      <c r="W96" s="4">
        <f t="shared" si="31"/>
        <v>-5036</v>
      </c>
      <c r="X96" s="4">
        <f t="shared" si="31"/>
        <v>0</v>
      </c>
      <c r="Y96" s="4">
        <f t="shared" si="31"/>
        <v>0</v>
      </c>
      <c r="Z96" s="4">
        <f t="shared" si="31"/>
        <v>0</v>
      </c>
      <c r="AA96" s="4">
        <f t="shared" si="31"/>
        <v>0</v>
      </c>
      <c r="AB96" s="4">
        <f t="shared" si="31"/>
        <v>0</v>
      </c>
      <c r="AH96" t="s">
        <v>238</v>
      </c>
      <c r="AR96" s="37"/>
    </row>
    <row r="97" spans="6:28" ht="15">
      <c r="F97" t="s">
        <v>206</v>
      </c>
      <c r="J97" t="s">
        <v>162</v>
      </c>
      <c r="M97" s="4">
        <f aca="true" t="shared" si="32" ref="M97:AB97">M96-M95</f>
        <v>11880</v>
      </c>
      <c r="N97" s="4">
        <f t="shared" si="32"/>
        <v>10800</v>
      </c>
      <c r="O97" s="4">
        <f t="shared" si="32"/>
        <v>13200</v>
      </c>
      <c r="P97" s="4">
        <f t="shared" si="32"/>
        <v>13200</v>
      </c>
      <c r="Q97" s="4">
        <f t="shared" si="32"/>
        <v>11880</v>
      </c>
      <c r="R97" s="4">
        <f t="shared" si="32"/>
        <v>0</v>
      </c>
      <c r="S97" s="4">
        <f t="shared" si="32"/>
        <v>7390</v>
      </c>
      <c r="T97" s="4">
        <f t="shared" si="32"/>
        <v>6448</v>
      </c>
      <c r="U97" s="4">
        <f t="shared" si="32"/>
        <v>7242</v>
      </c>
      <c r="V97" s="4">
        <f t="shared" si="32"/>
        <v>7858</v>
      </c>
      <c r="W97" s="4">
        <f t="shared" si="32"/>
        <v>-5937</v>
      </c>
      <c r="X97" s="4">
        <f t="shared" si="32"/>
        <v>0</v>
      </c>
      <c r="Y97" s="4">
        <f t="shared" si="32"/>
        <v>0</v>
      </c>
      <c r="Z97" s="4">
        <f t="shared" si="32"/>
        <v>0</v>
      </c>
      <c r="AA97" s="4">
        <f t="shared" si="32"/>
        <v>0</v>
      </c>
      <c r="AB97" s="4">
        <f t="shared" si="32"/>
        <v>0</v>
      </c>
    </row>
    <row r="98" spans="2:45" ht="15">
      <c r="B98" t="s">
        <v>209</v>
      </c>
      <c r="F98" t="s">
        <v>207</v>
      </c>
      <c r="J98" t="s">
        <v>166</v>
      </c>
      <c r="M98" s="4">
        <f>E48</f>
        <v>0</v>
      </c>
      <c r="N98" s="4">
        <f aca="true" t="shared" si="33" ref="N98:AB98">IF(N77=$G$55,-$E$48,0)</f>
        <v>0</v>
      </c>
      <c r="O98" s="4">
        <f t="shared" si="33"/>
        <v>0</v>
      </c>
      <c r="P98" s="4">
        <f t="shared" si="33"/>
        <v>0</v>
      </c>
      <c r="Q98" s="4">
        <f t="shared" si="33"/>
        <v>0</v>
      </c>
      <c r="R98" s="4">
        <f t="shared" si="33"/>
        <v>0</v>
      </c>
      <c r="S98" s="4">
        <f t="shared" si="33"/>
        <v>0</v>
      </c>
      <c r="T98" s="4">
        <f t="shared" si="33"/>
        <v>0</v>
      </c>
      <c r="U98" s="4">
        <f t="shared" si="33"/>
        <v>0</v>
      </c>
      <c r="V98" s="4">
        <f t="shared" si="33"/>
        <v>0</v>
      </c>
      <c r="W98" s="4">
        <f t="shared" si="33"/>
        <v>0</v>
      </c>
      <c r="X98" s="4">
        <f t="shared" si="33"/>
        <v>0</v>
      </c>
      <c r="Y98" s="4">
        <f t="shared" si="33"/>
        <v>0</v>
      </c>
      <c r="Z98" s="4">
        <f t="shared" si="33"/>
        <v>0</v>
      </c>
      <c r="AA98" s="4">
        <f t="shared" si="33"/>
        <v>0</v>
      </c>
      <c r="AB98" s="4">
        <f t="shared" si="33"/>
        <v>0</v>
      </c>
      <c r="AP98" t="s">
        <v>232</v>
      </c>
      <c r="AS98" t="s">
        <v>221</v>
      </c>
    </row>
    <row r="99" spans="1:45" ht="15" thickBot="1">
      <c r="A99">
        <v>1</v>
      </c>
      <c r="C99" s="28">
        <v>8.5</v>
      </c>
      <c r="F99" s="28">
        <v>10</v>
      </c>
      <c r="J99" t="s">
        <v>169</v>
      </c>
      <c r="M99" s="13"/>
      <c r="N99" s="13">
        <f aca="true" t="shared" si="34" ref="N99:AB99">IF(N77=$G$55+1,+$G$65,0)</f>
        <v>0</v>
      </c>
      <c r="O99" s="13">
        <f t="shared" si="34"/>
        <v>0</v>
      </c>
      <c r="P99" s="13">
        <f t="shared" si="34"/>
        <v>0</v>
      </c>
      <c r="Q99" s="13">
        <f t="shared" si="34"/>
        <v>0</v>
      </c>
      <c r="R99" s="13">
        <f t="shared" si="34"/>
        <v>0</v>
      </c>
      <c r="S99" s="13">
        <f t="shared" si="34"/>
        <v>2000</v>
      </c>
      <c r="T99" s="13">
        <f t="shared" si="34"/>
        <v>0</v>
      </c>
      <c r="U99" s="13">
        <f t="shared" si="34"/>
        <v>0</v>
      </c>
      <c r="V99" s="13">
        <f t="shared" si="34"/>
        <v>0</v>
      </c>
      <c r="W99" s="13">
        <f t="shared" si="34"/>
        <v>0</v>
      </c>
      <c r="X99" s="13">
        <f t="shared" si="34"/>
        <v>0</v>
      </c>
      <c r="Y99" s="13">
        <f t="shared" si="34"/>
        <v>0</v>
      </c>
      <c r="Z99" s="13">
        <f t="shared" si="34"/>
        <v>0</v>
      </c>
      <c r="AA99" s="13">
        <f t="shared" si="34"/>
        <v>0</v>
      </c>
      <c r="AB99" s="13">
        <f t="shared" si="34"/>
        <v>0</v>
      </c>
      <c r="AH99" s="23" t="s">
        <v>216</v>
      </c>
      <c r="AI99" s="23" t="s">
        <v>23</v>
      </c>
      <c r="AJ99">
        <v>3</v>
      </c>
      <c r="AK99">
        <v>4</v>
      </c>
      <c r="AL99">
        <v>5</v>
      </c>
      <c r="AM99">
        <v>6</v>
      </c>
      <c r="AN99">
        <v>7</v>
      </c>
      <c r="AO99" t="s">
        <v>217</v>
      </c>
      <c r="AP99" s="23" t="s">
        <v>215</v>
      </c>
      <c r="AR99" t="s">
        <v>222</v>
      </c>
      <c r="AS99" t="s">
        <v>224</v>
      </c>
    </row>
    <row r="100" spans="1:45" ht="15" thickBot="1">
      <c r="A100">
        <v>2</v>
      </c>
      <c r="C100" s="28"/>
      <c r="F100" s="28"/>
      <c r="G100" s="35" t="str">
        <f>IF(SUM(F$99:F$105)&lt;G$56,"Rate data provided for fewer years","   ")</f>
        <v>   </v>
      </c>
      <c r="J100" t="s">
        <v>173</v>
      </c>
      <c r="M100" s="12"/>
      <c r="N100" s="12">
        <f aca="true" t="shared" si="35" ref="N100:AB100">IF(N77&lt;&gt;$G$56,0,IF(N77=$G$55+2,IF($E$43&gt;3,$G$65*3/5,$G$65*1/3),IF($G$55+3=N77,IF($E$43&gt;3,$G$65*2/5,0),IF($G$55+4=N77,IF($E$43&gt;3,$G$65*1/5,0),0))))</f>
        <v>0</v>
      </c>
      <c r="O100" s="12">
        <f t="shared" si="35"/>
        <v>0</v>
      </c>
      <c r="P100" s="12">
        <f t="shared" si="35"/>
        <v>0</v>
      </c>
      <c r="Q100" s="12">
        <f t="shared" si="35"/>
        <v>0</v>
      </c>
      <c r="R100" s="12">
        <f t="shared" si="35"/>
        <v>0</v>
      </c>
      <c r="S100" s="12">
        <f t="shared" si="35"/>
        <v>0</v>
      </c>
      <c r="T100" s="12">
        <f t="shared" si="35"/>
        <v>0</v>
      </c>
      <c r="U100" s="12">
        <f t="shared" si="35"/>
        <v>0</v>
      </c>
      <c r="V100" s="12">
        <f t="shared" si="35"/>
        <v>0</v>
      </c>
      <c r="W100" s="12">
        <f t="shared" si="35"/>
        <v>0</v>
      </c>
      <c r="X100" s="12">
        <f t="shared" si="35"/>
        <v>0</v>
      </c>
      <c r="Y100" s="12">
        <f t="shared" si="35"/>
        <v>0</v>
      </c>
      <c r="Z100" s="12">
        <f t="shared" si="35"/>
        <v>0</v>
      </c>
      <c r="AA100" s="12">
        <f t="shared" si="35"/>
        <v>0</v>
      </c>
      <c r="AB100" s="12">
        <f t="shared" si="35"/>
        <v>0</v>
      </c>
      <c r="AG100" t="s">
        <v>6</v>
      </c>
      <c r="AO100" t="s">
        <v>218</v>
      </c>
      <c r="AP100" t="s">
        <v>213</v>
      </c>
      <c r="AQ100" t="s">
        <v>214</v>
      </c>
      <c r="AR100" t="s">
        <v>223</v>
      </c>
      <c r="AS100" t="s">
        <v>223</v>
      </c>
    </row>
    <row r="101" spans="1:45" ht="15" thickBot="1">
      <c r="A101">
        <v>3</v>
      </c>
      <c r="C101" s="28"/>
      <c r="F101" s="28"/>
      <c r="G101" s="35" t="str">
        <f>IF(SUM(F$99:F$105)&lt;G$56,"than analysis period","   ")</f>
        <v>   </v>
      </c>
      <c r="J101" t="s">
        <v>176</v>
      </c>
      <c r="M101" s="9">
        <f aca="true" t="shared" si="36" ref="M101:AB101">M97+M98-M99+M100</f>
        <v>11880</v>
      </c>
      <c r="N101" s="9">
        <f t="shared" si="36"/>
        <v>10800</v>
      </c>
      <c r="O101" s="9">
        <f t="shared" si="36"/>
        <v>13200</v>
      </c>
      <c r="P101" s="9">
        <f t="shared" si="36"/>
        <v>13200</v>
      </c>
      <c r="Q101" s="9">
        <f t="shared" si="36"/>
        <v>11880</v>
      </c>
      <c r="R101" s="9">
        <f t="shared" si="36"/>
        <v>0</v>
      </c>
      <c r="S101" s="9">
        <f t="shared" si="36"/>
        <v>5390</v>
      </c>
      <c r="T101" s="9">
        <f t="shared" si="36"/>
        <v>6448</v>
      </c>
      <c r="U101" s="9">
        <f t="shared" si="36"/>
        <v>7242</v>
      </c>
      <c r="V101" s="9">
        <f t="shared" si="36"/>
        <v>7858</v>
      </c>
      <c r="W101" s="9">
        <f t="shared" si="36"/>
        <v>-5937</v>
      </c>
      <c r="X101" s="9">
        <f t="shared" si="36"/>
        <v>0</v>
      </c>
      <c r="Y101" s="9">
        <f t="shared" si="36"/>
        <v>0</v>
      </c>
      <c r="Z101" s="9">
        <f t="shared" si="36"/>
        <v>0</v>
      </c>
      <c r="AA101" s="9">
        <f t="shared" si="36"/>
        <v>0</v>
      </c>
      <c r="AB101" s="9">
        <f t="shared" si="36"/>
        <v>0</v>
      </c>
      <c r="AG101">
        <v>1</v>
      </c>
      <c r="AH101" s="19">
        <f aca="true" t="shared" si="37" ref="AH101:AH115">IF(AG101&lt;=$F$89,TRUNC((+$C$89/100+(1-$C$89/100)*($B$89/100+$D$89/100)+0.005)*100),0)</f>
        <v>46</v>
      </c>
      <c r="AI101" s="19">
        <f aca="true" t="shared" si="38" ref="AI101:AI115">IF(AND($AG101&gt;$F$89,$AG101&lt;=SUM($F$89:$F$90)),TRUNC((+$C$90/100+(1-$C$90/100)*($B$90/100+$D$90/100)+0.005)*100),0)</f>
        <v>0</v>
      </c>
      <c r="AJ101" s="19">
        <f aca="true" t="shared" si="39" ref="AJ101:AJ115">IF(AND($AG101&gt;SUM($F$89:$F$90),$AG101&lt;=SUM($F$89:$F$91)),TRUNC((+$C$91/100+(1-$C$91/100)*($B$91/100+$D$91/100)+0.005)*100),0)</f>
        <v>0</v>
      </c>
      <c r="AK101" s="19">
        <f aca="true" t="shared" si="40" ref="AK101:AK115">IF(AND($AG101&gt;SUM($F$89:$F$91),$AG101&lt;=SUM($F$89:$F$92)),TRUNC((+$C$92/100+(1-$C$92/100)*($B$92/100+$D$92/100)+0.005)*100),0)</f>
        <v>0</v>
      </c>
      <c r="AL101" s="19">
        <f aca="true" t="shared" si="41" ref="AL101:AL115">IF(AND($AG101&gt;SUM($F$89:$F$92),$AG101&lt;=SUM($F$89:$F$93)),TRUNC((+$C$93/100+(1-$C$93/100)*($B$93/100+$D$93/100)+0.005)*100),0)</f>
        <v>0</v>
      </c>
      <c r="AM101" s="19">
        <f aca="true" t="shared" si="42" ref="AM101:AM115">IF(AND($AG101&gt;SUM($F$89:$F$93),$AG101&lt;=SUM($F$89:$F$94)),TRUNC((+$C$94/100+(1-$C$94/100)*($B$94/100+$D$94/100)+0.005)*100),0)</f>
        <v>0</v>
      </c>
      <c r="AN101" s="19">
        <f aca="true" t="shared" si="43" ref="AN101:AN115">IF(AND($AG101&gt;SUM($F$89:$F$94),$AG101&lt;=SUM($F$89:$F$95)),TRUNC((+$C$95/100+(1-$C$95/100)*($B$95/100+$D$95/100)+0.005)*100),0)</f>
        <v>0</v>
      </c>
      <c r="AO101">
        <f>SUM(AH101:AN101)</f>
        <v>46</v>
      </c>
      <c r="AP101">
        <f>AO124</f>
        <v>8.5</v>
      </c>
      <c r="AQ101" s="19">
        <f>AP101*(1-AO101/100)</f>
        <v>4.59</v>
      </c>
      <c r="AR101" s="38">
        <f>PV(AQ101/100,1,0,-1)</f>
        <v>0.9561143512764126</v>
      </c>
      <c r="AS101">
        <f>AR101</f>
        <v>0.9561143512764126</v>
      </c>
    </row>
    <row r="102" spans="1:45" ht="15" thickBot="1">
      <c r="A102">
        <v>4</v>
      </c>
      <c r="C102" s="28"/>
      <c r="F102" s="28"/>
      <c r="J102" t="s">
        <v>177</v>
      </c>
      <c r="M102" s="5">
        <v>1</v>
      </c>
      <c r="N102" s="5">
        <f>$AQ$124</f>
        <v>0.96</v>
      </c>
      <c r="O102" s="5">
        <f>$AQ$125</f>
        <v>0.91</v>
      </c>
      <c r="P102" s="5">
        <f>$AQ$126</f>
        <v>0.86</v>
      </c>
      <c r="Q102" s="5">
        <f>$AQ$127</f>
        <v>0.81</v>
      </c>
      <c r="R102" s="5">
        <f>$AQ$128</f>
        <v>0.77</v>
      </c>
      <c r="S102" s="5">
        <f>$AQ$129</f>
        <v>0.73</v>
      </c>
      <c r="T102" s="5">
        <f>$AQ$130</f>
        <v>0.69</v>
      </c>
      <c r="U102" s="5">
        <f>$AQ$131</f>
        <v>0.65</v>
      </c>
      <c r="V102" s="5">
        <f>$AQ$132</f>
        <v>0.62</v>
      </c>
      <c r="W102" s="5">
        <f>$AQ$133</f>
        <v>0.59</v>
      </c>
      <c r="X102" s="5">
        <f>$AQ$134</f>
        <v>0.59</v>
      </c>
      <c r="Y102" s="5">
        <f>$AQ$135</f>
        <v>0.59</v>
      </c>
      <c r="Z102" s="5">
        <f>$AQ$136</f>
        <v>0.59</v>
      </c>
      <c r="AA102" s="5">
        <f>$AQ$137</f>
        <v>0.59</v>
      </c>
      <c r="AB102" s="5">
        <f>$AQ$138</f>
        <v>0.59</v>
      </c>
      <c r="AG102">
        <v>2</v>
      </c>
      <c r="AH102" s="19">
        <f t="shared" si="37"/>
        <v>0</v>
      </c>
      <c r="AI102" s="19">
        <f t="shared" si="38"/>
        <v>34</v>
      </c>
      <c r="AJ102" s="19">
        <f t="shared" si="39"/>
        <v>0</v>
      </c>
      <c r="AK102" s="19">
        <f t="shared" si="40"/>
        <v>0</v>
      </c>
      <c r="AL102" s="19">
        <f t="shared" si="41"/>
        <v>0</v>
      </c>
      <c r="AM102" s="19">
        <f t="shared" si="42"/>
        <v>0</v>
      </c>
      <c r="AN102" s="19">
        <f t="shared" si="43"/>
        <v>0</v>
      </c>
      <c r="AO102">
        <f aca="true" t="shared" si="44" ref="AO102:AO115">SUM(AH102:AN102)</f>
        <v>34</v>
      </c>
      <c r="AP102">
        <f aca="true" t="shared" si="45" ref="AP102:AP115">AO125</f>
        <v>8.5</v>
      </c>
      <c r="AQ102" s="19">
        <f aca="true" t="shared" si="46" ref="AQ102:AQ115">AP102*(1-AO102/100)</f>
        <v>5.609999999999999</v>
      </c>
      <c r="AR102" s="38">
        <f aca="true" t="shared" si="47" ref="AR102:AR121">PV(AQ102/100,1,0,-1)</f>
        <v>0.9468800303001609</v>
      </c>
      <c r="AS102">
        <f>(PRODUCT($AR$101:$AR102)+0.005)</f>
        <v>0.9103255859070283</v>
      </c>
    </row>
    <row r="103" spans="1:45" ht="15" thickBot="1">
      <c r="A103">
        <v>5</v>
      </c>
      <c r="C103" s="28"/>
      <c r="F103" s="28"/>
      <c r="G103" s="35" t="str">
        <f>IF(SUM(F$99:F$105)&lt;G$70,"Rate data provided for fewer years","   ")</f>
        <v>   </v>
      </c>
      <c r="J103" t="s">
        <v>180</v>
      </c>
      <c r="M103" s="9">
        <f aca="true" t="shared" si="48" ref="M103:AB103">TRUNC(ROUND(+M101*M102,0))</f>
        <v>11880</v>
      </c>
      <c r="N103" s="9">
        <f t="shared" si="48"/>
        <v>10368</v>
      </c>
      <c r="O103" s="9">
        <f t="shared" si="48"/>
        <v>12012</v>
      </c>
      <c r="P103" s="9">
        <f t="shared" si="48"/>
        <v>11352</v>
      </c>
      <c r="Q103" s="9">
        <f t="shared" si="48"/>
        <v>9623</v>
      </c>
      <c r="R103" s="9">
        <f t="shared" si="48"/>
        <v>0</v>
      </c>
      <c r="S103" s="9">
        <f t="shared" si="48"/>
        <v>3935</v>
      </c>
      <c r="T103" s="9">
        <f t="shared" si="48"/>
        <v>4449</v>
      </c>
      <c r="U103" s="9">
        <f t="shared" si="48"/>
        <v>4707</v>
      </c>
      <c r="V103" s="9">
        <f t="shared" si="48"/>
        <v>4872</v>
      </c>
      <c r="W103" s="9">
        <f t="shared" si="48"/>
        <v>-3503</v>
      </c>
      <c r="X103" s="9">
        <f t="shared" si="48"/>
        <v>0</v>
      </c>
      <c r="Y103" s="9">
        <f t="shared" si="48"/>
        <v>0</v>
      </c>
      <c r="Z103" s="9">
        <f t="shared" si="48"/>
        <v>0</v>
      </c>
      <c r="AA103" s="9">
        <f t="shared" si="48"/>
        <v>0</v>
      </c>
      <c r="AB103" s="9">
        <f t="shared" si="48"/>
        <v>0</v>
      </c>
      <c r="AG103">
        <v>3</v>
      </c>
      <c r="AH103" s="19">
        <f t="shared" si="37"/>
        <v>0</v>
      </c>
      <c r="AI103" s="19">
        <f t="shared" si="38"/>
        <v>34</v>
      </c>
      <c r="AJ103" s="19">
        <f t="shared" si="39"/>
        <v>0</v>
      </c>
      <c r="AK103" s="19">
        <f t="shared" si="40"/>
        <v>0</v>
      </c>
      <c r="AL103" s="19">
        <f t="shared" si="41"/>
        <v>0</v>
      </c>
      <c r="AM103" s="19">
        <f t="shared" si="42"/>
        <v>0</v>
      </c>
      <c r="AN103" s="19">
        <f t="shared" si="43"/>
        <v>0</v>
      </c>
      <c r="AO103">
        <f t="shared" si="44"/>
        <v>34</v>
      </c>
      <c r="AP103">
        <f t="shared" si="45"/>
        <v>8.5</v>
      </c>
      <c r="AQ103" s="19">
        <f t="shared" si="46"/>
        <v>5.609999999999999</v>
      </c>
      <c r="AR103" s="38">
        <f t="shared" si="47"/>
        <v>0.9468800303001609</v>
      </c>
      <c r="AS103">
        <f>PRODUCT($AR$101:$AR103)</f>
        <v>0.8572347182151578</v>
      </c>
    </row>
    <row r="104" spans="1:45" ht="15" thickBot="1">
      <c r="A104">
        <v>6</v>
      </c>
      <c r="C104" s="28"/>
      <c r="F104" s="28"/>
      <c r="G104" s="35" t="str">
        <f>IF(SUM(F$99:F$105)&lt;G$70,"than lease period","   ")</f>
        <v>   </v>
      </c>
      <c r="J104" t="s">
        <v>182</v>
      </c>
      <c r="M104" s="10"/>
      <c r="N104" s="15"/>
      <c r="O104" s="16">
        <f>SUM(M103:AB103)</f>
        <v>69695</v>
      </c>
      <c r="P104" s="15"/>
      <c r="Q104" s="15"/>
      <c r="R104" s="8"/>
      <c r="S104" s="15"/>
      <c r="T104" s="15"/>
      <c r="U104" s="8"/>
      <c r="V104" s="8"/>
      <c r="W104" s="8"/>
      <c r="X104" s="8"/>
      <c r="Y104" s="8"/>
      <c r="Z104" s="8"/>
      <c r="AA104" s="8"/>
      <c r="AB104" s="8"/>
      <c r="AG104">
        <v>4</v>
      </c>
      <c r="AH104" s="19">
        <f t="shared" si="37"/>
        <v>0</v>
      </c>
      <c r="AI104" s="19">
        <f t="shared" si="38"/>
        <v>34</v>
      </c>
      <c r="AJ104" s="19">
        <f t="shared" si="39"/>
        <v>0</v>
      </c>
      <c r="AK104" s="19">
        <f t="shared" si="40"/>
        <v>0</v>
      </c>
      <c r="AL104" s="19">
        <f t="shared" si="41"/>
        <v>0</v>
      </c>
      <c r="AM104" s="19">
        <f t="shared" si="42"/>
        <v>0</v>
      </c>
      <c r="AN104" s="19">
        <f t="shared" si="43"/>
        <v>0</v>
      </c>
      <c r="AO104">
        <f t="shared" si="44"/>
        <v>34</v>
      </c>
      <c r="AP104">
        <f t="shared" si="45"/>
        <v>8.5</v>
      </c>
      <c r="AQ104" s="19">
        <f t="shared" si="46"/>
        <v>5.609999999999999</v>
      </c>
      <c r="AR104" s="38">
        <f t="shared" si="47"/>
        <v>0.9468800303001609</v>
      </c>
      <c r="AS104">
        <f>PRODUCT($AR$101:$AR104)</f>
        <v>0.8116984359579186</v>
      </c>
    </row>
    <row r="105" spans="1:45" ht="15" thickBot="1">
      <c r="A105">
        <v>7</v>
      </c>
      <c r="C105" s="28"/>
      <c r="F105" s="28"/>
      <c r="AG105">
        <v>5</v>
      </c>
      <c r="AH105" s="19">
        <f t="shared" si="37"/>
        <v>0</v>
      </c>
      <c r="AI105" s="19">
        <f t="shared" si="38"/>
        <v>34</v>
      </c>
      <c r="AJ105" s="19">
        <f t="shared" si="39"/>
        <v>0</v>
      </c>
      <c r="AK105" s="19">
        <f t="shared" si="40"/>
        <v>0</v>
      </c>
      <c r="AL105" s="19">
        <f t="shared" si="41"/>
        <v>0</v>
      </c>
      <c r="AM105" s="19">
        <f t="shared" si="42"/>
        <v>0</v>
      </c>
      <c r="AN105" s="19">
        <f t="shared" si="43"/>
        <v>0</v>
      </c>
      <c r="AO105">
        <f t="shared" si="44"/>
        <v>34</v>
      </c>
      <c r="AP105">
        <f t="shared" si="45"/>
        <v>8.5</v>
      </c>
      <c r="AQ105" s="19">
        <f t="shared" si="46"/>
        <v>5.609999999999999</v>
      </c>
      <c r="AR105" s="38">
        <f t="shared" si="47"/>
        <v>0.9468800303001609</v>
      </c>
      <c r="AS105">
        <f>PRODUCT($AR$101:$AR105)</f>
        <v>0.7685810396344271</v>
      </c>
    </row>
    <row r="106" spans="33:45" ht="15">
      <c r="AG106">
        <v>6</v>
      </c>
      <c r="AH106" s="19">
        <f t="shared" si="37"/>
        <v>0</v>
      </c>
      <c r="AI106" s="19">
        <f t="shared" si="38"/>
        <v>34</v>
      </c>
      <c r="AJ106" s="19">
        <f t="shared" si="39"/>
        <v>0</v>
      </c>
      <c r="AK106" s="19">
        <f t="shared" si="40"/>
        <v>0</v>
      </c>
      <c r="AL106" s="19">
        <f t="shared" si="41"/>
        <v>0</v>
      </c>
      <c r="AM106" s="19">
        <f t="shared" si="42"/>
        <v>0</v>
      </c>
      <c r="AN106" s="19">
        <f t="shared" si="43"/>
        <v>0</v>
      </c>
      <c r="AO106">
        <f t="shared" si="44"/>
        <v>34</v>
      </c>
      <c r="AP106">
        <f t="shared" si="45"/>
        <v>8.5</v>
      </c>
      <c r="AQ106" s="19">
        <f t="shared" si="46"/>
        <v>5.609999999999999</v>
      </c>
      <c r="AR106" s="38">
        <f t="shared" si="47"/>
        <v>0.9468800303001609</v>
      </c>
      <c r="AS106">
        <f>PRODUCT($AR$101:$AR106)</f>
        <v>0.7277540380971755</v>
      </c>
    </row>
    <row r="107" spans="1:45" ht="15">
      <c r="A107" s="23" t="s">
        <v>212</v>
      </c>
      <c r="AG107">
        <v>7</v>
      </c>
      <c r="AH107" s="19">
        <f t="shared" si="37"/>
        <v>0</v>
      </c>
      <c r="AI107" s="19">
        <f t="shared" si="38"/>
        <v>34</v>
      </c>
      <c r="AJ107" s="19">
        <f t="shared" si="39"/>
        <v>0</v>
      </c>
      <c r="AK107" s="19">
        <f t="shared" si="40"/>
        <v>0</v>
      </c>
      <c r="AL107" s="19">
        <f t="shared" si="41"/>
        <v>0</v>
      </c>
      <c r="AM107" s="19">
        <f t="shared" si="42"/>
        <v>0</v>
      </c>
      <c r="AN107" s="19">
        <f t="shared" si="43"/>
        <v>0</v>
      </c>
      <c r="AO107">
        <f t="shared" si="44"/>
        <v>34</v>
      </c>
      <c r="AP107">
        <f t="shared" si="45"/>
        <v>8.5</v>
      </c>
      <c r="AQ107" s="19">
        <f t="shared" si="46"/>
        <v>5.609999999999999</v>
      </c>
      <c r="AR107" s="38">
        <f t="shared" si="47"/>
        <v>0.9468800303001609</v>
      </c>
      <c r="AS107">
        <f>PRODUCT($AR$101:$AR107)</f>
        <v>0.689095765644518</v>
      </c>
    </row>
    <row r="108" spans="2:45" ht="15" thickBot="1">
      <c r="B108" t="s">
        <v>211</v>
      </c>
      <c r="F108" s="28">
        <v>24000</v>
      </c>
      <c r="L108" t="s">
        <v>184</v>
      </c>
      <c r="AG108">
        <v>8</v>
      </c>
      <c r="AH108" s="19">
        <f t="shared" si="37"/>
        <v>0</v>
      </c>
      <c r="AI108" s="19">
        <f t="shared" si="38"/>
        <v>34</v>
      </c>
      <c r="AJ108" s="19">
        <f t="shared" si="39"/>
        <v>0</v>
      </c>
      <c r="AK108" s="19">
        <f t="shared" si="40"/>
        <v>0</v>
      </c>
      <c r="AL108" s="19">
        <f t="shared" si="41"/>
        <v>0</v>
      </c>
      <c r="AM108" s="19">
        <f t="shared" si="42"/>
        <v>0</v>
      </c>
      <c r="AN108" s="19">
        <f t="shared" si="43"/>
        <v>0</v>
      </c>
      <c r="AO108">
        <f t="shared" si="44"/>
        <v>34</v>
      </c>
      <c r="AP108">
        <f t="shared" si="45"/>
        <v>8.5</v>
      </c>
      <c r="AQ108" s="19">
        <f t="shared" si="46"/>
        <v>5.609999999999999</v>
      </c>
      <c r="AR108" s="38">
        <f t="shared" si="47"/>
        <v>0.9468800303001609</v>
      </c>
      <c r="AS108">
        <f>PRODUCT($AR$101:$AR108)</f>
        <v>0.6524910194531938</v>
      </c>
    </row>
    <row r="109" spans="1:47" ht="15" thickBot="1">
      <c r="A109" t="s">
        <v>210</v>
      </c>
      <c r="B109" s="23" t="s">
        <v>226</v>
      </c>
      <c r="H109" s="28">
        <v>7</v>
      </c>
      <c r="Q109" t="s">
        <v>6</v>
      </c>
      <c r="AG109">
        <v>9</v>
      </c>
      <c r="AH109" s="19">
        <f t="shared" si="37"/>
        <v>0</v>
      </c>
      <c r="AI109" s="19">
        <f t="shared" si="38"/>
        <v>34</v>
      </c>
      <c r="AJ109" s="19">
        <f t="shared" si="39"/>
        <v>0</v>
      </c>
      <c r="AK109" s="19">
        <f t="shared" si="40"/>
        <v>0</v>
      </c>
      <c r="AL109" s="19">
        <f t="shared" si="41"/>
        <v>0</v>
      </c>
      <c r="AM109" s="19">
        <f t="shared" si="42"/>
        <v>0</v>
      </c>
      <c r="AN109" s="19">
        <f t="shared" si="43"/>
        <v>0</v>
      </c>
      <c r="AO109">
        <f t="shared" si="44"/>
        <v>34</v>
      </c>
      <c r="AP109">
        <f t="shared" si="45"/>
        <v>8.5</v>
      </c>
      <c r="AQ109" s="19">
        <f t="shared" si="46"/>
        <v>5.609999999999999</v>
      </c>
      <c r="AR109" s="38">
        <f t="shared" si="47"/>
        <v>0.9468800303001609</v>
      </c>
      <c r="AS109">
        <f>PRODUCT($AR$101:$AR109)</f>
        <v>0.617830716270423</v>
      </c>
      <c r="AU109" t="s">
        <v>185</v>
      </c>
    </row>
    <row r="110" spans="6:47" ht="15">
      <c r="F110" s="35" t="str">
        <f>IF(AND(R172&lt;&gt;1,H109&lt;&gt;0),"Inappropriate depreciation period selected","   ")</f>
        <v>   </v>
      </c>
      <c r="J110" t="s">
        <v>33</v>
      </c>
      <c r="M110" t="s">
        <v>66</v>
      </c>
      <c r="N110">
        <v>1</v>
      </c>
      <c r="O110">
        <v>2</v>
      </c>
      <c r="P110">
        <v>3</v>
      </c>
      <c r="Q110">
        <v>4</v>
      </c>
      <c r="R110">
        <v>5</v>
      </c>
      <c r="S110">
        <v>6</v>
      </c>
      <c r="T110">
        <v>7</v>
      </c>
      <c r="U110">
        <v>8</v>
      </c>
      <c r="V110">
        <v>9</v>
      </c>
      <c r="W110">
        <v>10</v>
      </c>
      <c r="X110">
        <v>11</v>
      </c>
      <c r="Y110">
        <v>12</v>
      </c>
      <c r="Z110">
        <v>13</v>
      </c>
      <c r="AA110">
        <v>14</v>
      </c>
      <c r="AB110">
        <v>15</v>
      </c>
      <c r="AG110">
        <v>10</v>
      </c>
      <c r="AH110" s="19">
        <f t="shared" si="37"/>
        <v>0</v>
      </c>
      <c r="AI110" s="19">
        <f t="shared" si="38"/>
        <v>34</v>
      </c>
      <c r="AJ110" s="19">
        <f t="shared" si="39"/>
        <v>0</v>
      </c>
      <c r="AK110" s="19">
        <f t="shared" si="40"/>
        <v>0</v>
      </c>
      <c r="AL110" s="19">
        <f t="shared" si="41"/>
        <v>0</v>
      </c>
      <c r="AM110" s="19">
        <f t="shared" si="42"/>
        <v>0</v>
      </c>
      <c r="AN110" s="19">
        <f t="shared" si="43"/>
        <v>0</v>
      </c>
      <c r="AO110">
        <f t="shared" si="44"/>
        <v>34</v>
      </c>
      <c r="AP110">
        <f t="shared" si="45"/>
        <v>8.5</v>
      </c>
      <c r="AQ110" s="19">
        <f t="shared" si="46"/>
        <v>5.609999999999999</v>
      </c>
      <c r="AR110" s="38">
        <f t="shared" si="47"/>
        <v>0.9468800303001609</v>
      </c>
      <c r="AS110">
        <f>PRODUCT($AR$101:$AR110)</f>
        <v>0.5850115673425081</v>
      </c>
      <c r="AU110" t="s">
        <v>186</v>
      </c>
    </row>
    <row r="111" spans="2:45" ht="15">
      <c r="B111" s="3" t="s">
        <v>141</v>
      </c>
      <c r="F111" s="3" t="s">
        <v>142</v>
      </c>
      <c r="AG111">
        <v>11</v>
      </c>
      <c r="AH111" s="19">
        <f t="shared" si="37"/>
        <v>0</v>
      </c>
      <c r="AI111" s="19">
        <f t="shared" si="38"/>
        <v>0</v>
      </c>
      <c r="AJ111" s="19">
        <f t="shared" si="39"/>
        <v>0</v>
      </c>
      <c r="AK111" s="19">
        <f t="shared" si="40"/>
        <v>0</v>
      </c>
      <c r="AL111" s="19">
        <f t="shared" si="41"/>
        <v>0</v>
      </c>
      <c r="AM111" s="19">
        <f t="shared" si="42"/>
        <v>0</v>
      </c>
      <c r="AN111" s="19">
        <f t="shared" si="43"/>
        <v>0</v>
      </c>
      <c r="AO111">
        <f t="shared" si="44"/>
        <v>0</v>
      </c>
      <c r="AP111">
        <f t="shared" si="45"/>
        <v>0</v>
      </c>
      <c r="AQ111" s="19">
        <f t="shared" si="46"/>
        <v>0</v>
      </c>
      <c r="AR111" s="38">
        <f t="shared" si="47"/>
        <v>1</v>
      </c>
      <c r="AS111">
        <f>PRODUCT($AR$101:$AR111)</f>
        <v>0.5850115673425081</v>
      </c>
    </row>
    <row r="112" spans="10:45" ht="15">
      <c r="J112" t="s">
        <v>187</v>
      </c>
      <c r="M112" s="4">
        <f>E45</f>
        <v>0</v>
      </c>
      <c r="N112" s="9">
        <f>IF(N110&lt;=MINA($G$56,$D$74),(IF($D$76&lt;&gt;0,(PMT($D$76/100/$D$75,$D$74*$D$75,-($E$46-$E$45))*$D$75),($E$46-$E$45)*AU173)),0)</f>
        <v>27839.23420237693</v>
      </c>
      <c r="O112" s="9">
        <f aca="true" t="shared" si="49" ref="O112:AB112">IF(O110&lt;=MINA($G$56,$D$74),(IF($D$76&lt;&gt;0,(PMT($D$76/100/$D$75,$D$74*$D$75,-($E$46-$E$45))*$D$75),($E$46-$E$45)*AV173)),0)</f>
        <v>28385.960778010885</v>
      </c>
      <c r="P112" s="9">
        <f t="shared" si="49"/>
        <v>28808.17600151947</v>
      </c>
      <c r="Q112" s="9">
        <f t="shared" si="49"/>
        <v>29099.555905033012</v>
      </c>
      <c r="R112" s="9">
        <f t="shared" si="49"/>
        <v>29099.555905032954</v>
      </c>
      <c r="S112" s="9">
        <f t="shared" si="49"/>
        <v>0</v>
      </c>
      <c r="T112" s="9">
        <f t="shared" si="49"/>
        <v>0</v>
      </c>
      <c r="U112" s="9">
        <f t="shared" si="49"/>
        <v>0</v>
      </c>
      <c r="V112" s="9">
        <f t="shared" si="49"/>
        <v>0</v>
      </c>
      <c r="W112" s="9">
        <f t="shared" si="49"/>
        <v>0</v>
      </c>
      <c r="X112" s="9">
        <f t="shared" si="49"/>
        <v>0</v>
      </c>
      <c r="Y112" s="9">
        <f t="shared" si="49"/>
        <v>0</v>
      </c>
      <c r="Z112" s="9">
        <f t="shared" si="49"/>
        <v>0</v>
      </c>
      <c r="AA112" s="9">
        <f t="shared" si="49"/>
        <v>0</v>
      </c>
      <c r="AB112" s="9">
        <f t="shared" si="49"/>
        <v>0</v>
      </c>
      <c r="AG112">
        <v>12</v>
      </c>
      <c r="AH112" s="19">
        <f t="shared" si="37"/>
        <v>0</v>
      </c>
      <c r="AI112" s="19">
        <f t="shared" si="38"/>
        <v>0</v>
      </c>
      <c r="AJ112" s="19">
        <f t="shared" si="39"/>
        <v>0</v>
      </c>
      <c r="AK112" s="19">
        <f t="shared" si="40"/>
        <v>0</v>
      </c>
      <c r="AL112" s="19">
        <f t="shared" si="41"/>
        <v>0</v>
      </c>
      <c r="AM112" s="19">
        <f t="shared" si="42"/>
        <v>0</v>
      </c>
      <c r="AN112" s="19">
        <f t="shared" si="43"/>
        <v>0</v>
      </c>
      <c r="AO112">
        <f t="shared" si="44"/>
        <v>0</v>
      </c>
      <c r="AP112">
        <f t="shared" si="45"/>
        <v>0</v>
      </c>
      <c r="AQ112" s="19">
        <f t="shared" si="46"/>
        <v>0</v>
      </c>
      <c r="AR112" s="38">
        <f t="shared" si="47"/>
        <v>1</v>
      </c>
      <c r="AS112">
        <f>PRODUCT($AR$101:$AR112)</f>
        <v>0.5850115673425081</v>
      </c>
    </row>
    <row r="113" spans="10:47" ht="15" thickBot="1">
      <c r="J113" t="s">
        <v>68</v>
      </c>
      <c r="M113" s="5"/>
      <c r="N113" s="5">
        <f>IF($D$76&lt;&gt;0,IF($D$74-N110&lt;0,0,IF($D$75&lt;1.5,HLOOKUP(15-$D$74+1,$AE$45:$AN$58,$AC$113-3+1),HLOOKUP(15-$D$74+1,$AE$7:$AS$20,$AC$113-3+1))),AU174)</f>
        <v>0.23789641930786276</v>
      </c>
      <c r="O113" s="5">
        <f>IF($D$76&lt;&gt;0,IF($D$74-O110&lt;0,0,IF($D$75&lt;1.5,HLOOKUP(15+N110-$D$74+1,$AE$45:$AN$58,$AC$113-3+1),HLOOKUP(15+N110-$D$74+1,$AE$7:$AS$20,$AC$113-3+1))),AV174)</f>
        <v>0.21885525387572546</v>
      </c>
      <c r="P113" s="5">
        <f aca="true" t="shared" si="50" ref="P113:AB113">IF($D$76&lt;&gt;0,IF($D$74-P110&lt;0,0,IF($D$75&lt;1.5,HLOOKUP(15+O110-$D$74+1,$AE$45:$AN$58,$AC$113-3+1),HLOOKUP(15+O110-$D$74+1,$AE$7:$AS$20,$AC$113-3+1))),AW174)</f>
        <v>0.18322817479605666</v>
      </c>
      <c r="Q113" s="5">
        <f t="shared" si="50"/>
        <v>0.1288138779740523</v>
      </c>
      <c r="R113" s="5">
        <f t="shared" si="50"/>
        <v>0.04709061057278268</v>
      </c>
      <c r="S113" s="5">
        <f t="shared" si="50"/>
        <v>0</v>
      </c>
      <c r="T113" s="5">
        <f t="shared" si="50"/>
        <v>0</v>
      </c>
      <c r="U113" s="5">
        <f t="shared" si="50"/>
        <v>0</v>
      </c>
      <c r="V113" s="5">
        <f t="shared" si="50"/>
        <v>0</v>
      </c>
      <c r="W113" s="5">
        <f t="shared" si="50"/>
        <v>0</v>
      </c>
      <c r="X113" s="5">
        <f t="shared" si="50"/>
        <v>0</v>
      </c>
      <c r="Y113" s="5">
        <f t="shared" si="50"/>
        <v>0</v>
      </c>
      <c r="Z113" s="5">
        <f t="shared" si="50"/>
        <v>0</v>
      </c>
      <c r="AA113" s="5">
        <f t="shared" si="50"/>
        <v>0</v>
      </c>
      <c r="AB113" s="5">
        <f t="shared" si="50"/>
        <v>0</v>
      </c>
      <c r="AC113">
        <f>IF(D76&lt;4,4,D76)</f>
        <v>4</v>
      </c>
      <c r="AG113">
        <v>13</v>
      </c>
      <c r="AH113" s="19">
        <f t="shared" si="37"/>
        <v>0</v>
      </c>
      <c r="AI113" s="19">
        <f t="shared" si="38"/>
        <v>0</v>
      </c>
      <c r="AJ113" s="19">
        <f t="shared" si="39"/>
        <v>0</v>
      </c>
      <c r="AK113" s="19">
        <f t="shared" si="40"/>
        <v>0</v>
      </c>
      <c r="AL113" s="19">
        <f t="shared" si="41"/>
        <v>0</v>
      </c>
      <c r="AM113" s="19">
        <f t="shared" si="42"/>
        <v>0</v>
      </c>
      <c r="AN113" s="19">
        <f t="shared" si="43"/>
        <v>0</v>
      </c>
      <c r="AO113">
        <f t="shared" si="44"/>
        <v>0</v>
      </c>
      <c r="AP113">
        <f t="shared" si="45"/>
        <v>0</v>
      </c>
      <c r="AQ113" s="19">
        <f t="shared" si="46"/>
        <v>0</v>
      </c>
      <c r="AR113" s="38">
        <f t="shared" si="47"/>
        <v>1</v>
      </c>
      <c r="AS113">
        <f>PRODUCT($AR$101:$AR113)</f>
        <v>0.5850115673425081</v>
      </c>
      <c r="AU113" s="23" t="s">
        <v>188</v>
      </c>
    </row>
    <row r="114" spans="10:47" ht="15">
      <c r="J114" t="s">
        <v>69</v>
      </c>
      <c r="M114" s="4"/>
      <c r="N114" s="9">
        <f aca="true" t="shared" si="51" ref="N114:AB114">TRUNC(ROUND(+N112*N113,0))</f>
        <v>6623</v>
      </c>
      <c r="O114" s="9">
        <f t="shared" si="51"/>
        <v>6212</v>
      </c>
      <c r="P114" s="9">
        <f t="shared" si="51"/>
        <v>5278</v>
      </c>
      <c r="Q114" s="9">
        <f t="shared" si="51"/>
        <v>3748</v>
      </c>
      <c r="R114" s="9">
        <f t="shared" si="51"/>
        <v>1370</v>
      </c>
      <c r="S114" s="9">
        <f t="shared" si="51"/>
        <v>0</v>
      </c>
      <c r="T114" s="9">
        <f t="shared" si="51"/>
        <v>0</v>
      </c>
      <c r="U114" s="9">
        <f t="shared" si="51"/>
        <v>0</v>
      </c>
      <c r="V114" s="9">
        <f t="shared" si="51"/>
        <v>0</v>
      </c>
      <c r="W114" s="9">
        <f t="shared" si="51"/>
        <v>0</v>
      </c>
      <c r="X114" s="9">
        <f t="shared" si="51"/>
        <v>0</v>
      </c>
      <c r="Y114" s="9">
        <f t="shared" si="51"/>
        <v>0</v>
      </c>
      <c r="Z114" s="9">
        <f t="shared" si="51"/>
        <v>0</v>
      </c>
      <c r="AA114" s="9">
        <f t="shared" si="51"/>
        <v>0</v>
      </c>
      <c r="AB114" s="9">
        <f t="shared" si="51"/>
        <v>0</v>
      </c>
      <c r="AG114">
        <v>14</v>
      </c>
      <c r="AH114" s="19">
        <f t="shared" si="37"/>
        <v>0</v>
      </c>
      <c r="AI114" s="19">
        <f t="shared" si="38"/>
        <v>0</v>
      </c>
      <c r="AJ114" s="19">
        <f t="shared" si="39"/>
        <v>0</v>
      </c>
      <c r="AK114" s="19">
        <f t="shared" si="40"/>
        <v>0</v>
      </c>
      <c r="AL114" s="19">
        <f t="shared" si="41"/>
        <v>0</v>
      </c>
      <c r="AM114" s="19">
        <f t="shared" si="42"/>
        <v>0</v>
      </c>
      <c r="AN114" s="19">
        <f t="shared" si="43"/>
        <v>0</v>
      </c>
      <c r="AO114">
        <f t="shared" si="44"/>
        <v>0</v>
      </c>
      <c r="AP114">
        <f t="shared" si="45"/>
        <v>0</v>
      </c>
      <c r="AQ114" s="19">
        <f t="shared" si="46"/>
        <v>0</v>
      </c>
      <c r="AR114" s="38">
        <f t="shared" si="47"/>
        <v>1</v>
      </c>
      <c r="AS114">
        <f>PRODUCT($AR$101:$AR114)</f>
        <v>0.5850115673425081</v>
      </c>
      <c r="AU114" s="23" t="s">
        <v>189</v>
      </c>
    </row>
    <row r="115" spans="10:45" ht="15">
      <c r="J115" t="s">
        <v>70</v>
      </c>
      <c r="M115" s="4"/>
      <c r="N115" s="4">
        <f>IF(N110&lt;=MINA($G$56,$E$43+1),(HLOOKUP($E$43,$BE$43:$BJ$58,N110+1)/100*MAXA($E$46-$H$44,0))+MINA($E$46,$H$44),0)</f>
        <v>12852.000000000002</v>
      </c>
      <c r="O115" s="4">
        <f aca="true" t="shared" si="52" ref="O115:AB115">IF(O110&lt;=MINA($G$56,$E$43+1),(HLOOKUP($E$43,$BE$43:$BJ$58,O110+1)/100*MAXA($E$46-$H$44,0))+MINA($E$46,$H$44),0)</f>
        <v>22956</v>
      </c>
      <c r="P115" s="4">
        <f t="shared" si="52"/>
        <v>18036</v>
      </c>
      <c r="Q115" s="4">
        <f t="shared" si="52"/>
        <v>14700</v>
      </c>
      <c r="R115" s="4">
        <f t="shared" si="52"/>
        <v>14700</v>
      </c>
      <c r="S115" s="4">
        <f t="shared" si="52"/>
        <v>14700</v>
      </c>
      <c r="T115" s="4">
        <f t="shared" si="52"/>
        <v>14700</v>
      </c>
      <c r="U115" s="4">
        <f t="shared" si="52"/>
        <v>7356</v>
      </c>
      <c r="V115" s="4">
        <f t="shared" si="52"/>
        <v>0</v>
      </c>
      <c r="W115" s="4">
        <f t="shared" si="52"/>
        <v>0</v>
      </c>
      <c r="X115" s="4">
        <f t="shared" si="52"/>
        <v>0</v>
      </c>
      <c r="Y115" s="4">
        <f t="shared" si="52"/>
        <v>0</v>
      </c>
      <c r="Z115" s="4">
        <f t="shared" si="52"/>
        <v>0</v>
      </c>
      <c r="AA115" s="4">
        <f t="shared" si="52"/>
        <v>0</v>
      </c>
      <c r="AB115" s="4">
        <f t="shared" si="52"/>
        <v>0</v>
      </c>
      <c r="AG115">
        <v>15</v>
      </c>
      <c r="AH115" s="19">
        <f t="shared" si="37"/>
        <v>0</v>
      </c>
      <c r="AI115" s="19">
        <f t="shared" si="38"/>
        <v>0</v>
      </c>
      <c r="AJ115" s="19">
        <f t="shared" si="39"/>
        <v>0</v>
      </c>
      <c r="AK115" s="19">
        <f t="shared" si="40"/>
        <v>0</v>
      </c>
      <c r="AL115" s="19">
        <f t="shared" si="41"/>
        <v>0</v>
      </c>
      <c r="AM115" s="19">
        <f t="shared" si="42"/>
        <v>0</v>
      </c>
      <c r="AN115" s="19">
        <f t="shared" si="43"/>
        <v>0</v>
      </c>
      <c r="AO115">
        <f t="shared" si="44"/>
        <v>0</v>
      </c>
      <c r="AP115">
        <f t="shared" si="45"/>
        <v>0</v>
      </c>
      <c r="AQ115" s="19">
        <f t="shared" si="46"/>
        <v>0</v>
      </c>
      <c r="AR115" s="38">
        <f t="shared" si="47"/>
        <v>1</v>
      </c>
      <c r="AS115">
        <f>PRODUCT($AR$101:$AR115)</f>
        <v>0.5850115673425081</v>
      </c>
    </row>
    <row r="116" spans="8:45" ht="15" thickBot="1">
      <c r="H116" t="s">
        <v>262</v>
      </c>
      <c r="J116" t="s">
        <v>73</v>
      </c>
      <c r="M116" s="5">
        <f>G25</f>
        <v>0</v>
      </c>
      <c r="N116" s="5">
        <f>G26</f>
        <v>0</v>
      </c>
      <c r="O116" s="5">
        <f>G27</f>
        <v>0</v>
      </c>
      <c r="P116" s="5">
        <f>G28</f>
        <v>0</v>
      </c>
      <c r="Q116" s="5">
        <f>G29</f>
        <v>0</v>
      </c>
      <c r="R116" s="5">
        <f>G30</f>
        <v>0</v>
      </c>
      <c r="S116" s="5">
        <f>G31</f>
        <v>0</v>
      </c>
      <c r="T116" s="5">
        <f>G32</f>
        <v>0</v>
      </c>
      <c r="U116" s="12">
        <f>G33</f>
        <v>0</v>
      </c>
      <c r="V116" s="12">
        <f>G34</f>
        <v>0</v>
      </c>
      <c r="W116" s="12">
        <f>G35</f>
        <v>0</v>
      </c>
      <c r="X116" s="12">
        <f>G36</f>
        <v>0</v>
      </c>
      <c r="Y116" s="12">
        <f>G37</f>
        <v>0</v>
      </c>
      <c r="Z116" s="12">
        <f>G38</f>
        <v>0</v>
      </c>
      <c r="AA116" s="12">
        <f>G39</f>
        <v>0</v>
      </c>
      <c r="AB116" s="12">
        <f>G40</f>
        <v>0</v>
      </c>
      <c r="AO116">
        <f aca="true" t="shared" si="53" ref="AO116:AO121">AO$115</f>
        <v>0</v>
      </c>
      <c r="AR116" s="38">
        <f t="shared" si="47"/>
        <v>1</v>
      </c>
      <c r="AS116">
        <f>PRODUCT($AR$101:$AR116)</f>
        <v>0.5850115673425081</v>
      </c>
    </row>
    <row r="117" spans="10:45" ht="15">
      <c r="J117" t="s">
        <v>190</v>
      </c>
      <c r="M117" s="9">
        <f aca="true" t="shared" si="54" ref="M117:AB117">TRUNC(ROUND(+M114+M115+M116,0))</f>
        <v>0</v>
      </c>
      <c r="N117" s="9">
        <f t="shared" si="54"/>
        <v>19475</v>
      </c>
      <c r="O117" s="9">
        <f t="shared" si="54"/>
        <v>29168</v>
      </c>
      <c r="P117" s="9">
        <f t="shared" si="54"/>
        <v>23314</v>
      </c>
      <c r="Q117" s="9">
        <f t="shared" si="54"/>
        <v>18448</v>
      </c>
      <c r="R117" s="9">
        <f t="shared" si="54"/>
        <v>16070</v>
      </c>
      <c r="S117" s="9">
        <f t="shared" si="54"/>
        <v>14700</v>
      </c>
      <c r="T117" s="9">
        <f t="shared" si="54"/>
        <v>14700</v>
      </c>
      <c r="U117" s="9">
        <f t="shared" si="54"/>
        <v>7356</v>
      </c>
      <c r="V117" s="9">
        <f t="shared" si="54"/>
        <v>0</v>
      </c>
      <c r="W117" s="9">
        <f t="shared" si="54"/>
        <v>0</v>
      </c>
      <c r="X117" s="9">
        <f t="shared" si="54"/>
        <v>0</v>
      </c>
      <c r="Y117" s="9">
        <f t="shared" si="54"/>
        <v>0</v>
      </c>
      <c r="Z117" s="9">
        <f t="shared" si="54"/>
        <v>0</v>
      </c>
      <c r="AA117" s="9">
        <f t="shared" si="54"/>
        <v>0</v>
      </c>
      <c r="AB117" s="9">
        <f t="shared" si="54"/>
        <v>0</v>
      </c>
      <c r="AO117">
        <f t="shared" si="53"/>
        <v>0</v>
      </c>
      <c r="AR117" s="38">
        <f t="shared" si="47"/>
        <v>1</v>
      </c>
      <c r="AS117">
        <f>PRODUCT($AR$101:$AR117)</f>
        <v>0.5850115673425081</v>
      </c>
    </row>
    <row r="118" spans="10:45" ht="15">
      <c r="J118" t="s">
        <v>191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O118">
        <f t="shared" si="53"/>
        <v>0</v>
      </c>
      <c r="AR118" s="38">
        <f t="shared" si="47"/>
        <v>1</v>
      </c>
      <c r="AS118">
        <f>PRODUCT($AR$101:$AR118)</f>
        <v>0.5850115673425081</v>
      </c>
    </row>
    <row r="119" spans="11:45" ht="15">
      <c r="K119" t="s">
        <v>82</v>
      </c>
      <c r="M119" s="4"/>
      <c r="N119" s="4">
        <f aca="true" t="shared" si="55" ref="N119:AB119">IF(N110=$G$56,$G$58,0)</f>
        <v>0</v>
      </c>
      <c r="O119" s="4">
        <f t="shared" si="55"/>
        <v>0</v>
      </c>
      <c r="P119" s="4">
        <f t="shared" si="55"/>
        <v>0</v>
      </c>
      <c r="Q119" s="4">
        <f t="shared" si="55"/>
        <v>0</v>
      </c>
      <c r="R119" s="4">
        <f t="shared" si="55"/>
        <v>0</v>
      </c>
      <c r="S119" s="4">
        <f t="shared" si="55"/>
        <v>0</v>
      </c>
      <c r="T119" s="4">
        <f t="shared" si="55"/>
        <v>0</v>
      </c>
      <c r="U119" s="4">
        <f t="shared" si="55"/>
        <v>0</v>
      </c>
      <c r="V119" s="4">
        <f t="shared" si="55"/>
        <v>0</v>
      </c>
      <c r="W119" s="4">
        <f t="shared" si="55"/>
        <v>15000</v>
      </c>
      <c r="X119" s="4">
        <f t="shared" si="55"/>
        <v>0</v>
      </c>
      <c r="Y119" s="4">
        <f t="shared" si="55"/>
        <v>0</v>
      </c>
      <c r="Z119" s="4">
        <f t="shared" si="55"/>
        <v>0</v>
      </c>
      <c r="AA119" s="4">
        <f t="shared" si="55"/>
        <v>0</v>
      </c>
      <c r="AB119" s="4">
        <f t="shared" si="55"/>
        <v>0</v>
      </c>
      <c r="AO119">
        <f t="shared" si="53"/>
        <v>0</v>
      </c>
      <c r="AR119" s="38">
        <f t="shared" si="47"/>
        <v>1</v>
      </c>
      <c r="AS119">
        <f>PRODUCT($AR$101:$AR119)</f>
        <v>0.5850115673425081</v>
      </c>
    </row>
    <row r="120" spans="10:45" ht="15">
      <c r="J120" t="s">
        <v>85</v>
      </c>
      <c r="K120" t="s">
        <v>86</v>
      </c>
      <c r="M120" s="4"/>
      <c r="N120" s="4">
        <f aca="true" t="shared" si="56" ref="N120:AB120">IF(N110=$G$56,$E$46-SUM($N$115:$AB$115),0)</f>
        <v>0</v>
      </c>
      <c r="O120" s="4">
        <f t="shared" si="56"/>
        <v>0</v>
      </c>
      <c r="P120" s="4">
        <f t="shared" si="56"/>
        <v>0</v>
      </c>
      <c r="Q120" s="4">
        <f t="shared" si="56"/>
        <v>0</v>
      </c>
      <c r="R120" s="4">
        <f t="shared" si="56"/>
        <v>0</v>
      </c>
      <c r="S120" s="4">
        <f t="shared" si="56"/>
        <v>0</v>
      </c>
      <c r="T120" s="4">
        <f t="shared" si="56"/>
        <v>0</v>
      </c>
      <c r="U120" s="4">
        <f t="shared" si="56"/>
        <v>0</v>
      </c>
      <c r="V120" s="4">
        <f t="shared" si="56"/>
        <v>0</v>
      </c>
      <c r="W120" s="4">
        <f t="shared" si="56"/>
        <v>0</v>
      </c>
      <c r="X120" s="4">
        <f t="shared" si="56"/>
        <v>0</v>
      </c>
      <c r="Y120" s="4">
        <f t="shared" si="56"/>
        <v>0</v>
      </c>
      <c r="Z120" s="4">
        <f t="shared" si="56"/>
        <v>0</v>
      </c>
      <c r="AA120" s="4">
        <f t="shared" si="56"/>
        <v>0</v>
      </c>
      <c r="AB120" s="4">
        <f t="shared" si="56"/>
        <v>0</v>
      </c>
      <c r="AO120">
        <f t="shared" si="53"/>
        <v>0</v>
      </c>
      <c r="AP120" t="s">
        <v>225</v>
      </c>
      <c r="AR120" s="38">
        <f t="shared" si="47"/>
        <v>1</v>
      </c>
      <c r="AS120">
        <f>PRODUCT($AR$101:$AR120)</f>
        <v>0.5850115673425081</v>
      </c>
    </row>
    <row r="121" spans="10:45" ht="15">
      <c r="J121" t="s">
        <v>87</v>
      </c>
      <c r="K121" t="s">
        <v>88</v>
      </c>
      <c r="M121" s="4"/>
      <c r="N121" s="4">
        <f aca="true" t="shared" si="57" ref="N121:AB121">N119-N120</f>
        <v>0</v>
      </c>
      <c r="O121" s="4">
        <f t="shared" si="57"/>
        <v>0</v>
      </c>
      <c r="P121" s="4">
        <f t="shared" si="57"/>
        <v>0</v>
      </c>
      <c r="Q121" s="4">
        <f t="shared" si="57"/>
        <v>0</v>
      </c>
      <c r="R121" s="4">
        <f t="shared" si="57"/>
        <v>0</v>
      </c>
      <c r="S121" s="4">
        <f t="shared" si="57"/>
        <v>0</v>
      </c>
      <c r="T121" s="4">
        <f t="shared" si="57"/>
        <v>0</v>
      </c>
      <c r="U121" s="4">
        <f t="shared" si="57"/>
        <v>0</v>
      </c>
      <c r="V121" s="4">
        <f t="shared" si="57"/>
        <v>0</v>
      </c>
      <c r="W121" s="4">
        <f t="shared" si="57"/>
        <v>15000</v>
      </c>
      <c r="X121" s="4">
        <f t="shared" si="57"/>
        <v>0</v>
      </c>
      <c r="Y121" s="4">
        <f t="shared" si="57"/>
        <v>0</v>
      </c>
      <c r="Z121" s="4">
        <f t="shared" si="57"/>
        <v>0</v>
      </c>
      <c r="AA121" s="4">
        <f t="shared" si="57"/>
        <v>0</v>
      </c>
      <c r="AB121" s="4">
        <f t="shared" si="57"/>
        <v>0</v>
      </c>
      <c r="AH121" t="s">
        <v>220</v>
      </c>
      <c r="AO121">
        <f t="shared" si="53"/>
        <v>0</v>
      </c>
      <c r="AP121" s="23" t="s">
        <v>230</v>
      </c>
      <c r="AR121" s="38">
        <f t="shared" si="47"/>
        <v>1</v>
      </c>
      <c r="AS121">
        <f>PRODUCT($AR$101:$AR121)</f>
        <v>0.5850115673425081</v>
      </c>
    </row>
    <row r="122" spans="10:42" ht="15">
      <c r="J122" t="s">
        <v>90</v>
      </c>
      <c r="K122" t="s">
        <v>91</v>
      </c>
      <c r="M122" s="4"/>
      <c r="N122" s="9">
        <f>IF($G$56=N110,IF($D$74&gt;$G$56,IF($D$76&lt;&gt;0,$E$46-$E$45-(SUM($N$112:$AB$112)-SUM($N$114:$AB$114)),($E$46-$D$45)*AU175),0),0)</f>
        <v>0</v>
      </c>
      <c r="O122" s="9">
        <f aca="true" t="shared" si="58" ref="O122:AB122">IF($G$56=O110,IF($D$74&gt;$G$56,IF($D$76&lt;&gt;0,$E$46-$E$45-(SUM($N$112:$AB$112)-SUM($N$114:$AB$114)),($E$46-$D$45)*AV175),0),0)</f>
        <v>0</v>
      </c>
      <c r="P122" s="9">
        <f t="shared" si="58"/>
        <v>0</v>
      </c>
      <c r="Q122" s="9">
        <f t="shared" si="58"/>
        <v>0</v>
      </c>
      <c r="R122" s="9">
        <f t="shared" si="58"/>
        <v>0</v>
      </c>
      <c r="S122" s="9">
        <f t="shared" si="58"/>
        <v>0</v>
      </c>
      <c r="T122" s="9">
        <f t="shared" si="58"/>
        <v>0</v>
      </c>
      <c r="U122" s="9">
        <f t="shared" si="58"/>
        <v>0</v>
      </c>
      <c r="V122" s="9">
        <f t="shared" si="58"/>
        <v>0</v>
      </c>
      <c r="W122" s="9">
        <f t="shared" si="58"/>
        <v>0</v>
      </c>
      <c r="X122" s="9">
        <f t="shared" si="58"/>
        <v>0</v>
      </c>
      <c r="Y122" s="9">
        <f t="shared" si="58"/>
        <v>0</v>
      </c>
      <c r="Z122" s="9">
        <f t="shared" si="58"/>
        <v>0</v>
      </c>
      <c r="AA122" s="9">
        <f t="shared" si="58"/>
        <v>0</v>
      </c>
      <c r="AB122" s="9">
        <f t="shared" si="58"/>
        <v>0</v>
      </c>
      <c r="AH122" s="23" t="s">
        <v>219</v>
      </c>
      <c r="AI122" s="23" t="s">
        <v>23</v>
      </c>
      <c r="AJ122">
        <v>3</v>
      </c>
      <c r="AK122">
        <v>4</v>
      </c>
      <c r="AL122">
        <v>5</v>
      </c>
      <c r="AM122">
        <v>6</v>
      </c>
      <c r="AN122">
        <v>7</v>
      </c>
      <c r="AO122" t="s">
        <v>217</v>
      </c>
      <c r="AP122" s="23" t="s">
        <v>229</v>
      </c>
    </row>
    <row r="123" spans="10:41" ht="15">
      <c r="J123" t="s">
        <v>94</v>
      </c>
      <c r="M123" s="9">
        <f aca="true" t="shared" si="59" ref="M123:AB123">M117-M121</f>
        <v>0</v>
      </c>
      <c r="N123" s="9">
        <f t="shared" si="59"/>
        <v>19475</v>
      </c>
      <c r="O123" s="9">
        <f t="shared" si="59"/>
        <v>29168</v>
      </c>
      <c r="P123" s="9">
        <f t="shared" si="59"/>
        <v>23314</v>
      </c>
      <c r="Q123" s="9">
        <f t="shared" si="59"/>
        <v>18448</v>
      </c>
      <c r="R123" s="9">
        <f t="shared" si="59"/>
        <v>16070</v>
      </c>
      <c r="S123" s="9">
        <f t="shared" si="59"/>
        <v>14700</v>
      </c>
      <c r="T123" s="9">
        <f t="shared" si="59"/>
        <v>14700</v>
      </c>
      <c r="U123" s="9">
        <f t="shared" si="59"/>
        <v>7356</v>
      </c>
      <c r="V123" s="9">
        <f t="shared" si="59"/>
        <v>0</v>
      </c>
      <c r="W123" s="9">
        <f t="shared" si="59"/>
        <v>-15000</v>
      </c>
      <c r="X123" s="9">
        <f t="shared" si="59"/>
        <v>0</v>
      </c>
      <c r="Y123" s="9">
        <f t="shared" si="59"/>
        <v>0</v>
      </c>
      <c r="Z123" s="9">
        <f t="shared" si="59"/>
        <v>0</v>
      </c>
      <c r="AA123" s="9">
        <f t="shared" si="59"/>
        <v>0</v>
      </c>
      <c r="AB123" s="9">
        <f t="shared" si="59"/>
        <v>0</v>
      </c>
      <c r="AG123" t="s">
        <v>6</v>
      </c>
      <c r="AO123" t="s">
        <v>218</v>
      </c>
    </row>
    <row r="124" spans="10:55" ht="15" thickBot="1">
      <c r="J124" t="s">
        <v>95</v>
      </c>
      <c r="M124" s="22">
        <f>N124</f>
        <v>0.46</v>
      </c>
      <c r="N124" s="22">
        <f>$AO$101/100</f>
        <v>0.46</v>
      </c>
      <c r="O124" s="22">
        <f>$AO$102/100</f>
        <v>0.34</v>
      </c>
      <c r="P124" s="22">
        <f>$AO$103/100</f>
        <v>0.34</v>
      </c>
      <c r="Q124" s="22">
        <f>$AO$104/100</f>
        <v>0.34</v>
      </c>
      <c r="R124" s="22">
        <f>$AO$105/100</f>
        <v>0.34</v>
      </c>
      <c r="S124" s="22">
        <f>$AO$106/100</f>
        <v>0.34</v>
      </c>
      <c r="T124" s="22">
        <f>$AO$107/100</f>
        <v>0.34</v>
      </c>
      <c r="U124" s="22">
        <f>$AO$108/100</f>
        <v>0.34</v>
      </c>
      <c r="V124" s="22">
        <f>$AO$109/100</f>
        <v>0.34</v>
      </c>
      <c r="W124" s="22">
        <f>$AO$110/100</f>
        <v>0.34</v>
      </c>
      <c r="X124" s="22">
        <f>$AO$111/100</f>
        <v>0</v>
      </c>
      <c r="Y124" s="22">
        <f>$AO$112/100</f>
        <v>0</v>
      </c>
      <c r="Z124" s="22">
        <f>$AO$113/100</f>
        <v>0</v>
      </c>
      <c r="AA124" s="22">
        <f>$AO$114/100</f>
        <v>0</v>
      </c>
      <c r="AB124" s="22">
        <f>$AO$115/100</f>
        <v>0</v>
      </c>
      <c r="AG124">
        <v>1</v>
      </c>
      <c r="AH124" s="19">
        <f aca="true" t="shared" si="60" ref="AH124:AH138">IF(AG124&lt;=$F$99,$C$99,0)</f>
        <v>8.5</v>
      </c>
      <c r="AI124" s="19">
        <f aca="true" t="shared" si="61" ref="AI124:AI138">IF(AND($AG124&gt;$F$99,$AG124&lt;=SUM($F$99:$F$100)),$C$100,0)</f>
        <v>0</v>
      </c>
      <c r="AJ124" s="19">
        <f aca="true" t="shared" si="62" ref="AJ124:AJ138">IF(AND($AG124&gt;SUM($F$99:$F$100),$AG124&lt;=SUM($F$99:$F$101)),$C$101,0)</f>
        <v>0</v>
      </c>
      <c r="AK124" s="19">
        <f aca="true" t="shared" si="63" ref="AK124:AK138">IF(AND($AG124&gt;SUM($F$99:$F$101),$AG124&lt;=SUM($F$99:$F$102)),$C$102,0)</f>
        <v>0</v>
      </c>
      <c r="AL124" s="19">
        <f aca="true" t="shared" si="64" ref="AL124:AL138">IF(AND($AG124&gt;SUM($F$99:$F$102),$AG124&lt;=SUM($F$99:$F$103)),$C$103,0)</f>
        <v>0</v>
      </c>
      <c r="AM124" s="19">
        <f aca="true" t="shared" si="65" ref="AM124:AM138">IF(AND($AG124&gt;SUM($F$99:$F$103),$AG124&lt;=SUM($F$99:$F$104)),$C$104,0)</f>
        <v>0</v>
      </c>
      <c r="AN124" s="19">
        <f aca="true" t="shared" si="66" ref="AN124:AN138">IF(AND($AG124&gt;SUM($F$99:$F$104),$AG124&lt;=SUM($F$99:$F$105)),$C$105,0)</f>
        <v>0</v>
      </c>
      <c r="AO124">
        <f>SUM(AH124:AN124)</f>
        <v>8.5</v>
      </c>
      <c r="AQ124">
        <f>(TRUNC((AS101+0.005)*100))/100</f>
        <v>0.96</v>
      </c>
      <c r="AV124" t="s">
        <v>245</v>
      </c>
      <c r="BC124">
        <f>BC$115</f>
        <v>0</v>
      </c>
    </row>
    <row r="125" spans="10:55" ht="15">
      <c r="J125" t="s">
        <v>98</v>
      </c>
      <c r="M125" s="9">
        <f aca="true" t="shared" si="67" ref="M125:AB125">TRUNC(ROUND(+M123*M124,0))</f>
        <v>0</v>
      </c>
      <c r="N125" s="9">
        <f t="shared" si="67"/>
        <v>8959</v>
      </c>
      <c r="O125" s="9">
        <f t="shared" si="67"/>
        <v>9917</v>
      </c>
      <c r="P125" s="9">
        <f t="shared" si="67"/>
        <v>7927</v>
      </c>
      <c r="Q125" s="9">
        <f t="shared" si="67"/>
        <v>6272</v>
      </c>
      <c r="R125" s="9">
        <f t="shared" si="67"/>
        <v>5464</v>
      </c>
      <c r="S125" s="9">
        <f t="shared" si="67"/>
        <v>4998</v>
      </c>
      <c r="T125" s="9">
        <f t="shared" si="67"/>
        <v>4998</v>
      </c>
      <c r="U125" s="9">
        <f t="shared" si="67"/>
        <v>2501</v>
      </c>
      <c r="V125" s="9">
        <f t="shared" si="67"/>
        <v>0</v>
      </c>
      <c r="W125" s="9">
        <f t="shared" si="67"/>
        <v>-5100</v>
      </c>
      <c r="X125" s="9">
        <f t="shared" si="67"/>
        <v>0</v>
      </c>
      <c r="Y125" s="9">
        <f t="shared" si="67"/>
        <v>0</v>
      </c>
      <c r="Z125" s="9">
        <f t="shared" si="67"/>
        <v>0</v>
      </c>
      <c r="AA125" s="9">
        <f t="shared" si="67"/>
        <v>0</v>
      </c>
      <c r="AB125" s="9">
        <f t="shared" si="67"/>
        <v>0</v>
      </c>
      <c r="AG125">
        <v>2</v>
      </c>
      <c r="AH125" s="19">
        <f t="shared" si="60"/>
        <v>8.5</v>
      </c>
      <c r="AI125" s="19">
        <f t="shared" si="61"/>
        <v>0</v>
      </c>
      <c r="AJ125" s="19">
        <f t="shared" si="62"/>
        <v>0</v>
      </c>
      <c r="AK125" s="19">
        <f t="shared" si="63"/>
        <v>0</v>
      </c>
      <c r="AL125" s="19">
        <f t="shared" si="64"/>
        <v>0</v>
      </c>
      <c r="AM125" s="19">
        <f t="shared" si="65"/>
        <v>0</v>
      </c>
      <c r="AN125" s="19">
        <f t="shared" si="66"/>
        <v>0</v>
      </c>
      <c r="AO125">
        <f aca="true" t="shared" si="68" ref="AO125:AO138">SUM(AH125:AN125)</f>
        <v>8.5</v>
      </c>
      <c r="AQ125">
        <f aca="true" t="shared" si="69" ref="AQ125:AQ144">(TRUNC((AS102+0.005)*100))/100</f>
        <v>0.91</v>
      </c>
      <c r="AV125" s="23" t="s">
        <v>219</v>
      </c>
      <c r="AW125" s="23" t="s">
        <v>23</v>
      </c>
      <c r="AX125">
        <v>3</v>
      </c>
      <c r="AY125">
        <v>4</v>
      </c>
      <c r="AZ125">
        <v>5</v>
      </c>
      <c r="BA125">
        <v>6</v>
      </c>
      <c r="BB125">
        <v>7</v>
      </c>
      <c r="BC125" t="s">
        <v>217</v>
      </c>
    </row>
    <row r="126" spans="10:55" ht="15">
      <c r="J126" t="s">
        <v>100</v>
      </c>
      <c r="M126" s="9">
        <f aca="true" t="shared" si="70" ref="M126:AB126">M112+M116-M119+M122-M125</f>
        <v>0</v>
      </c>
      <c r="N126" s="9">
        <f t="shared" si="70"/>
        <v>18880.23420237693</v>
      </c>
      <c r="O126" s="9">
        <f t="shared" si="70"/>
        <v>18468.960778010885</v>
      </c>
      <c r="P126" s="9">
        <f t="shared" si="70"/>
        <v>20881.17600151947</v>
      </c>
      <c r="Q126" s="9">
        <f t="shared" si="70"/>
        <v>22827.555905033012</v>
      </c>
      <c r="R126" s="9">
        <f t="shared" si="70"/>
        <v>23635.555905032954</v>
      </c>
      <c r="S126" s="9">
        <f t="shared" si="70"/>
        <v>-4998</v>
      </c>
      <c r="T126" s="9">
        <f t="shared" si="70"/>
        <v>-4998</v>
      </c>
      <c r="U126" s="9">
        <f t="shared" si="70"/>
        <v>-2501</v>
      </c>
      <c r="V126" s="9">
        <f t="shared" si="70"/>
        <v>0</v>
      </c>
      <c r="W126" s="9">
        <f t="shared" si="70"/>
        <v>-9900</v>
      </c>
      <c r="X126" s="9">
        <f t="shared" si="70"/>
        <v>0</v>
      </c>
      <c r="Y126" s="9">
        <f t="shared" si="70"/>
        <v>0</v>
      </c>
      <c r="Z126" s="9">
        <f t="shared" si="70"/>
        <v>0</v>
      </c>
      <c r="AA126" s="9">
        <f t="shared" si="70"/>
        <v>0</v>
      </c>
      <c r="AB126" s="9">
        <f t="shared" si="70"/>
        <v>0</v>
      </c>
      <c r="AG126">
        <v>3</v>
      </c>
      <c r="AH126" s="19">
        <f t="shared" si="60"/>
        <v>8.5</v>
      </c>
      <c r="AI126" s="19">
        <f t="shared" si="61"/>
        <v>0</v>
      </c>
      <c r="AJ126" s="19">
        <f t="shared" si="62"/>
        <v>0</v>
      </c>
      <c r="AK126" s="19">
        <f t="shared" si="63"/>
        <v>0</v>
      </c>
      <c r="AL126" s="19">
        <f t="shared" si="64"/>
        <v>0</v>
      </c>
      <c r="AM126" s="19">
        <f t="shared" si="65"/>
        <v>0</v>
      </c>
      <c r="AN126" s="19">
        <f t="shared" si="66"/>
        <v>0</v>
      </c>
      <c r="AO126">
        <f t="shared" si="68"/>
        <v>8.5</v>
      </c>
      <c r="AQ126">
        <f t="shared" si="69"/>
        <v>0.86</v>
      </c>
      <c r="AU126" t="s">
        <v>6</v>
      </c>
      <c r="BC126" t="s">
        <v>218</v>
      </c>
    </row>
    <row r="127" spans="10:55" ht="15">
      <c r="J127" t="s">
        <v>102</v>
      </c>
      <c r="M127" s="4"/>
      <c r="N127" s="4">
        <f>E50</f>
        <v>4800</v>
      </c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G127">
        <v>4</v>
      </c>
      <c r="AH127" s="19">
        <f t="shared" si="60"/>
        <v>8.5</v>
      </c>
      <c r="AI127" s="19">
        <f t="shared" si="61"/>
        <v>0</v>
      </c>
      <c r="AJ127" s="19">
        <f t="shared" si="62"/>
        <v>0</v>
      </c>
      <c r="AK127" s="19">
        <f t="shared" si="63"/>
        <v>0</v>
      </c>
      <c r="AL127" s="19">
        <f t="shared" si="64"/>
        <v>0</v>
      </c>
      <c r="AM127" s="19">
        <f t="shared" si="65"/>
        <v>0</v>
      </c>
      <c r="AN127" s="19">
        <f t="shared" si="66"/>
        <v>0</v>
      </c>
      <c r="AO127">
        <f t="shared" si="68"/>
        <v>8.5</v>
      </c>
      <c r="AQ127">
        <f t="shared" si="69"/>
        <v>0.81</v>
      </c>
      <c r="AU127">
        <v>1</v>
      </c>
      <c r="AV127" s="19">
        <f>IF(AU127&lt;=$E$78,$C$78,0)</f>
        <v>6</v>
      </c>
      <c r="AW127" s="19">
        <f>IF(AND($AU127&gt;$E$78,$AU127&lt;=SUM($E$78:$E$79)),$C$79,0)</f>
        <v>0</v>
      </c>
      <c r="AX127" s="19">
        <f>IF(AND($AU127&gt;SUM($E$78:$E$79),$AU127&lt;=SUM($E$78:$E$80)),$C$80,0)</f>
        <v>0</v>
      </c>
      <c r="AY127" s="19">
        <f>IF(AND($AU127&gt;SUM($E$78:$E$80),$AU127&lt;=SUM($E$78:$E$81)),$C$81,0)</f>
        <v>0</v>
      </c>
      <c r="AZ127" s="19">
        <f>IF(AND($AU127&gt;SUM($E$78:$E$81),$AU127&lt;=SUM($E$78:$E$82)),$C$82,0)</f>
        <v>0</v>
      </c>
      <c r="BA127" s="19">
        <f>IF(AND($AU127&gt;SUM($E$78:$E$82),$AU127&lt;=SUM($E$78:$E$83)),$C$83,0)</f>
        <v>0</v>
      </c>
      <c r="BB127" s="19">
        <f>IF(AND($AU127&gt;SUM($E$78:$E$83),$AU127&lt;=SUM($E$78:$E$84)),$C$84,0)</f>
        <v>0</v>
      </c>
      <c r="BC127">
        <f>SUM(AV127:BB127)</f>
        <v>6</v>
      </c>
    </row>
    <row r="128" spans="10:55" ht="15" thickBot="1">
      <c r="J128" t="s">
        <v>104</v>
      </c>
      <c r="M128" s="5"/>
      <c r="N128" s="5">
        <v>0</v>
      </c>
      <c r="O128" s="5">
        <f>IF($G$56&gt;=5,0,IF($G$56=O110,IF($E$43&lt;=3,1/3*$N$52,3/5*$N$52),0))</f>
        <v>0</v>
      </c>
      <c r="P128" s="5">
        <f>IF($G$56&gt;=5,0,IF($G$56=P110,IF($E$43&lt;=3,0,2/5*$N$52),0))</f>
        <v>0</v>
      </c>
      <c r="Q128" s="5">
        <f>IF(G56&lt;=5,0,IF($G$56=Q110,IF($E$43&lt;=3,0,1/5*$N$52),0))</f>
        <v>0</v>
      </c>
      <c r="R128" s="5">
        <v>0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  <c r="AG128">
        <v>5</v>
      </c>
      <c r="AH128" s="19">
        <f t="shared" si="60"/>
        <v>8.5</v>
      </c>
      <c r="AI128" s="19">
        <f t="shared" si="61"/>
        <v>0</v>
      </c>
      <c r="AJ128" s="19">
        <f t="shared" si="62"/>
        <v>0</v>
      </c>
      <c r="AK128" s="19">
        <f t="shared" si="63"/>
        <v>0</v>
      </c>
      <c r="AL128" s="19">
        <f t="shared" si="64"/>
        <v>0</v>
      </c>
      <c r="AM128" s="19">
        <f t="shared" si="65"/>
        <v>0</v>
      </c>
      <c r="AN128" s="19">
        <f t="shared" si="66"/>
        <v>0</v>
      </c>
      <c r="AO128">
        <f t="shared" si="68"/>
        <v>8.5</v>
      </c>
      <c r="AQ128">
        <f t="shared" si="69"/>
        <v>0.77</v>
      </c>
      <c r="AU128">
        <v>2</v>
      </c>
      <c r="AV128" s="19">
        <f aca="true" t="shared" si="71" ref="AV128:AV141">IF(AU128&lt;=$E$78,$C$78,0)</f>
        <v>0</v>
      </c>
      <c r="AW128" s="19">
        <f aca="true" t="shared" si="72" ref="AW128:AW140">IF(AND($AU128&gt;$E$78,$AU128&lt;=SUM($E$78:$E$79)),$C$79,0)</f>
        <v>7</v>
      </c>
      <c r="AX128" s="19">
        <f aca="true" t="shared" si="73" ref="AX128:AX141">IF(AND($AU128&gt;SUM($E$78:$E$79),$AU128&lt;=SUM($E$78:$E$80)),$C$80,0)</f>
        <v>0</v>
      </c>
      <c r="AY128" s="19">
        <f aca="true" t="shared" si="74" ref="AY128:AY141">IF(AND($AU128&gt;SUM($E$78:$E$80),$AU128&lt;=SUM($E$78:$E$81)),$C$81,0)</f>
        <v>0</v>
      </c>
      <c r="AZ128" s="19">
        <f aca="true" t="shared" si="75" ref="AZ128:AZ141">IF(AND($AU128&gt;SUM($E$78:$E$81),$AU128&lt;=SUM($E$78:$E$82)),$C$82,0)</f>
        <v>0</v>
      </c>
      <c r="BA128" s="19">
        <f aca="true" t="shared" si="76" ref="BA128:BA141">IF(AND($AU128&gt;SUM($E$78:$E$82),$AU128&lt;=SUM($E$78:$E$83)),$C$83,0)</f>
        <v>0</v>
      </c>
      <c r="BB128" s="19">
        <f aca="true" t="shared" si="77" ref="BB128:BB141">IF(AND($AU128&gt;SUM($E$78:$E$83),$AU128&lt;=SUM($E$78:$E$84)),$C$84,0)</f>
        <v>0</v>
      </c>
      <c r="BC128">
        <f aca="true" t="shared" si="78" ref="BC128:BC141">SUM(AV128:BB128)</f>
        <v>7</v>
      </c>
    </row>
    <row r="129" spans="10:55" ht="15">
      <c r="J129" t="s">
        <v>105</v>
      </c>
      <c r="M129" s="9">
        <f aca="true" t="shared" si="79" ref="M129:AB129">M126-M127+M128</f>
        <v>0</v>
      </c>
      <c r="N129" s="9">
        <f t="shared" si="79"/>
        <v>14080.23420237693</v>
      </c>
      <c r="O129" s="9">
        <f t="shared" si="79"/>
        <v>18468.960778010885</v>
      </c>
      <c r="P129" s="9">
        <f t="shared" si="79"/>
        <v>20881.17600151947</v>
      </c>
      <c r="Q129" s="9">
        <f t="shared" si="79"/>
        <v>22827.555905033012</v>
      </c>
      <c r="R129" s="9">
        <f t="shared" si="79"/>
        <v>23635.555905032954</v>
      </c>
      <c r="S129" s="9">
        <f t="shared" si="79"/>
        <v>-4998</v>
      </c>
      <c r="T129" s="9">
        <f t="shared" si="79"/>
        <v>-4998</v>
      </c>
      <c r="U129" s="9">
        <f t="shared" si="79"/>
        <v>-2501</v>
      </c>
      <c r="V129" s="9">
        <f t="shared" si="79"/>
        <v>0</v>
      </c>
      <c r="W129" s="9">
        <f t="shared" si="79"/>
        <v>-9900</v>
      </c>
      <c r="X129" s="9">
        <f t="shared" si="79"/>
        <v>0</v>
      </c>
      <c r="Y129" s="9">
        <f t="shared" si="79"/>
        <v>0</v>
      </c>
      <c r="Z129" s="9">
        <f t="shared" si="79"/>
        <v>0</v>
      </c>
      <c r="AA129" s="9">
        <f t="shared" si="79"/>
        <v>0</v>
      </c>
      <c r="AB129" s="9">
        <f t="shared" si="79"/>
        <v>0</v>
      </c>
      <c r="AG129">
        <v>6</v>
      </c>
      <c r="AH129" s="19">
        <f t="shared" si="60"/>
        <v>8.5</v>
      </c>
      <c r="AI129" s="19">
        <f t="shared" si="61"/>
        <v>0</v>
      </c>
      <c r="AJ129" s="19">
        <f t="shared" si="62"/>
        <v>0</v>
      </c>
      <c r="AK129" s="19">
        <f t="shared" si="63"/>
        <v>0</v>
      </c>
      <c r="AL129" s="19">
        <f t="shared" si="64"/>
        <v>0</v>
      </c>
      <c r="AM129" s="19">
        <f t="shared" si="65"/>
        <v>0</v>
      </c>
      <c r="AN129" s="19">
        <f t="shared" si="66"/>
        <v>0</v>
      </c>
      <c r="AO129">
        <f t="shared" si="68"/>
        <v>8.5</v>
      </c>
      <c r="AQ129">
        <f t="shared" si="69"/>
        <v>0.73</v>
      </c>
      <c r="AU129">
        <v>3</v>
      </c>
      <c r="AV129" s="19">
        <f t="shared" si="71"/>
        <v>0</v>
      </c>
      <c r="AW129" s="19">
        <f t="shared" si="72"/>
        <v>0</v>
      </c>
      <c r="AX129" s="19">
        <f t="shared" si="73"/>
        <v>8</v>
      </c>
      <c r="AY129" s="19">
        <f t="shared" si="74"/>
        <v>0</v>
      </c>
      <c r="AZ129" s="19">
        <f t="shared" si="75"/>
        <v>0</v>
      </c>
      <c r="BA129" s="19">
        <f t="shared" si="76"/>
        <v>0</v>
      </c>
      <c r="BB129" s="19">
        <f t="shared" si="77"/>
        <v>0</v>
      </c>
      <c r="BC129">
        <f t="shared" si="78"/>
        <v>8</v>
      </c>
    </row>
    <row r="130" spans="10:55" ht="15" thickBot="1">
      <c r="J130" t="s">
        <v>107</v>
      </c>
      <c r="M130" s="5">
        <v>1</v>
      </c>
      <c r="N130" s="5">
        <f>$AQ$124</f>
        <v>0.96</v>
      </c>
      <c r="O130" s="5">
        <f>$AQ$125</f>
        <v>0.91</v>
      </c>
      <c r="P130" s="5">
        <f>$AQ$126</f>
        <v>0.86</v>
      </c>
      <c r="Q130" s="5">
        <f>$AQ$127</f>
        <v>0.81</v>
      </c>
      <c r="R130" s="5">
        <f>$AQ$128</f>
        <v>0.77</v>
      </c>
      <c r="S130" s="5">
        <f>$AQ$129</f>
        <v>0.73</v>
      </c>
      <c r="T130" s="5">
        <f>$AQ$130</f>
        <v>0.69</v>
      </c>
      <c r="U130" s="5">
        <f>$AQ$131</f>
        <v>0.65</v>
      </c>
      <c r="V130" s="5">
        <f>$AQ$132</f>
        <v>0.62</v>
      </c>
      <c r="W130" s="5">
        <f>$AQ$133</f>
        <v>0.59</v>
      </c>
      <c r="X130" s="5">
        <f>$AQ$134</f>
        <v>0.59</v>
      </c>
      <c r="Y130" s="5">
        <f>$AQ$135</f>
        <v>0.59</v>
      </c>
      <c r="Z130" s="5">
        <f>$AQ$136</f>
        <v>0.59</v>
      </c>
      <c r="AA130" s="5">
        <f>$AQ$137</f>
        <v>0.59</v>
      </c>
      <c r="AB130" s="5">
        <f>$AQ$138</f>
        <v>0.59</v>
      </c>
      <c r="AG130">
        <v>7</v>
      </c>
      <c r="AH130" s="19">
        <f t="shared" si="60"/>
        <v>8.5</v>
      </c>
      <c r="AI130" s="19">
        <f t="shared" si="61"/>
        <v>0</v>
      </c>
      <c r="AJ130" s="19">
        <f t="shared" si="62"/>
        <v>0</v>
      </c>
      <c r="AK130" s="19">
        <f t="shared" si="63"/>
        <v>0</v>
      </c>
      <c r="AL130" s="19">
        <f t="shared" si="64"/>
        <v>0</v>
      </c>
      <c r="AM130" s="19">
        <f t="shared" si="65"/>
        <v>0</v>
      </c>
      <c r="AN130" s="19">
        <f t="shared" si="66"/>
        <v>0</v>
      </c>
      <c r="AO130">
        <f t="shared" si="68"/>
        <v>8.5</v>
      </c>
      <c r="AQ130">
        <f t="shared" si="69"/>
        <v>0.69</v>
      </c>
      <c r="AU130">
        <v>4</v>
      </c>
      <c r="AV130" s="19">
        <f t="shared" si="71"/>
        <v>0</v>
      </c>
      <c r="AW130" s="19">
        <f t="shared" si="72"/>
        <v>0</v>
      </c>
      <c r="AX130" s="19">
        <f t="shared" si="73"/>
        <v>0</v>
      </c>
      <c r="AY130" s="19">
        <f t="shared" si="74"/>
        <v>9</v>
      </c>
      <c r="AZ130" s="19">
        <f t="shared" si="75"/>
        <v>0</v>
      </c>
      <c r="BA130" s="19">
        <f t="shared" si="76"/>
        <v>0</v>
      </c>
      <c r="BB130" s="19">
        <f t="shared" si="77"/>
        <v>0</v>
      </c>
      <c r="BC130">
        <f t="shared" si="78"/>
        <v>9</v>
      </c>
    </row>
    <row r="131" spans="10:55" ht="15">
      <c r="J131" t="s">
        <v>109</v>
      </c>
      <c r="M131" s="4">
        <f aca="true" t="shared" si="80" ref="M131:AB131">TRUNC(ROUND(M129*M130,0))</f>
        <v>0</v>
      </c>
      <c r="N131" s="4">
        <f t="shared" si="80"/>
        <v>13517</v>
      </c>
      <c r="O131" s="4">
        <f t="shared" si="80"/>
        <v>16807</v>
      </c>
      <c r="P131" s="4">
        <f t="shared" si="80"/>
        <v>17958</v>
      </c>
      <c r="Q131" s="4">
        <f t="shared" si="80"/>
        <v>18490</v>
      </c>
      <c r="R131" s="4">
        <f t="shared" si="80"/>
        <v>18199</v>
      </c>
      <c r="S131" s="4">
        <f t="shared" si="80"/>
        <v>-3649</v>
      </c>
      <c r="T131" s="4">
        <f t="shared" si="80"/>
        <v>-3449</v>
      </c>
      <c r="U131" s="4">
        <f t="shared" si="80"/>
        <v>-1626</v>
      </c>
      <c r="V131" s="4">
        <f t="shared" si="80"/>
        <v>0</v>
      </c>
      <c r="W131" s="4">
        <f t="shared" si="80"/>
        <v>-5841</v>
      </c>
      <c r="X131" s="4">
        <f t="shared" si="80"/>
        <v>0</v>
      </c>
      <c r="Y131" s="4">
        <f t="shared" si="80"/>
        <v>0</v>
      </c>
      <c r="Z131" s="4">
        <f t="shared" si="80"/>
        <v>0</v>
      </c>
      <c r="AA131" s="4">
        <f t="shared" si="80"/>
        <v>0</v>
      </c>
      <c r="AB131" s="4">
        <f t="shared" si="80"/>
        <v>0</v>
      </c>
      <c r="AG131">
        <v>8</v>
      </c>
      <c r="AH131" s="19">
        <f t="shared" si="60"/>
        <v>8.5</v>
      </c>
      <c r="AI131" s="19">
        <f t="shared" si="61"/>
        <v>0</v>
      </c>
      <c r="AJ131" s="19">
        <f t="shared" si="62"/>
        <v>0</v>
      </c>
      <c r="AK131" s="19">
        <f t="shared" si="63"/>
        <v>0</v>
      </c>
      <c r="AL131" s="19">
        <f t="shared" si="64"/>
        <v>0</v>
      </c>
      <c r="AM131" s="19">
        <f t="shared" si="65"/>
        <v>0</v>
      </c>
      <c r="AN131" s="19">
        <f t="shared" si="66"/>
        <v>0</v>
      </c>
      <c r="AO131">
        <f t="shared" si="68"/>
        <v>8.5</v>
      </c>
      <c r="AQ131">
        <f t="shared" si="69"/>
        <v>0.65</v>
      </c>
      <c r="AU131">
        <v>5</v>
      </c>
      <c r="AV131" s="19">
        <f t="shared" si="71"/>
        <v>0</v>
      </c>
      <c r="AW131" s="19">
        <f t="shared" si="72"/>
        <v>0</v>
      </c>
      <c r="AX131" s="19">
        <f t="shared" si="73"/>
        <v>0</v>
      </c>
      <c r="AY131" s="19">
        <f t="shared" si="74"/>
        <v>9</v>
      </c>
      <c r="AZ131" s="19">
        <f t="shared" si="75"/>
        <v>0</v>
      </c>
      <c r="BA131" s="19">
        <f t="shared" si="76"/>
        <v>0</v>
      </c>
      <c r="BB131" s="19">
        <f t="shared" si="77"/>
        <v>0</v>
      </c>
      <c r="BC131">
        <f t="shared" si="78"/>
        <v>9</v>
      </c>
    </row>
    <row r="132" spans="10:55" ht="15">
      <c r="J132" t="s">
        <v>111</v>
      </c>
      <c r="M132" s="10"/>
      <c r="N132" s="15"/>
      <c r="O132" s="15">
        <f>SUM(N131:AB131)</f>
        <v>70406</v>
      </c>
      <c r="P132" s="15"/>
      <c r="Q132" s="15"/>
      <c r="R132" s="8"/>
      <c r="S132" s="15"/>
      <c r="T132" s="15"/>
      <c r="U132" s="8"/>
      <c r="V132" s="8"/>
      <c r="W132" s="8"/>
      <c r="X132" s="8"/>
      <c r="Y132" s="8"/>
      <c r="Z132" s="8"/>
      <c r="AA132" s="8"/>
      <c r="AB132" s="18"/>
      <c r="AG132">
        <v>9</v>
      </c>
      <c r="AH132" s="19">
        <f t="shared" si="60"/>
        <v>8.5</v>
      </c>
      <c r="AI132" s="19">
        <f t="shared" si="61"/>
        <v>0</v>
      </c>
      <c r="AJ132" s="19">
        <f t="shared" si="62"/>
        <v>0</v>
      </c>
      <c r="AK132" s="19">
        <f t="shared" si="63"/>
        <v>0</v>
      </c>
      <c r="AL132" s="19">
        <f t="shared" si="64"/>
        <v>0</v>
      </c>
      <c r="AM132" s="19">
        <f t="shared" si="65"/>
        <v>0</v>
      </c>
      <c r="AN132" s="19">
        <f t="shared" si="66"/>
        <v>0</v>
      </c>
      <c r="AO132">
        <f t="shared" si="68"/>
        <v>8.5</v>
      </c>
      <c r="AQ132">
        <f t="shared" si="69"/>
        <v>0.62</v>
      </c>
      <c r="AU132">
        <v>6</v>
      </c>
      <c r="AV132" s="19">
        <f t="shared" si="71"/>
        <v>0</v>
      </c>
      <c r="AW132" s="19">
        <f t="shared" si="72"/>
        <v>0</v>
      </c>
      <c r="AX132" s="19">
        <f t="shared" si="73"/>
        <v>0</v>
      </c>
      <c r="AY132" s="19">
        <f t="shared" si="74"/>
        <v>9</v>
      </c>
      <c r="AZ132" s="19">
        <f t="shared" si="75"/>
        <v>0</v>
      </c>
      <c r="BA132" s="19">
        <f t="shared" si="76"/>
        <v>0</v>
      </c>
      <c r="BB132" s="19">
        <f t="shared" si="77"/>
        <v>0</v>
      </c>
      <c r="BC132">
        <f t="shared" si="78"/>
        <v>9</v>
      </c>
    </row>
    <row r="133" spans="33:55" ht="15">
      <c r="AG133">
        <v>10</v>
      </c>
      <c r="AH133" s="19">
        <f t="shared" si="60"/>
        <v>8.5</v>
      </c>
      <c r="AI133" s="19">
        <f t="shared" si="61"/>
        <v>0</v>
      </c>
      <c r="AJ133" s="19">
        <f t="shared" si="62"/>
        <v>0</v>
      </c>
      <c r="AK133" s="19">
        <f t="shared" si="63"/>
        <v>0</v>
      </c>
      <c r="AL133" s="19">
        <f t="shared" si="64"/>
        <v>0</v>
      </c>
      <c r="AM133" s="19">
        <f t="shared" si="65"/>
        <v>0</v>
      </c>
      <c r="AN133" s="19">
        <f t="shared" si="66"/>
        <v>0</v>
      </c>
      <c r="AO133">
        <f t="shared" si="68"/>
        <v>8.5</v>
      </c>
      <c r="AQ133">
        <f t="shared" si="69"/>
        <v>0.59</v>
      </c>
      <c r="AU133">
        <v>7</v>
      </c>
      <c r="AV133" s="19">
        <f t="shared" si="71"/>
        <v>0</v>
      </c>
      <c r="AW133" s="19">
        <f t="shared" si="72"/>
        <v>0</v>
      </c>
      <c r="AX133" s="19">
        <f t="shared" si="73"/>
        <v>0</v>
      </c>
      <c r="AY133" s="19">
        <f t="shared" si="74"/>
        <v>9</v>
      </c>
      <c r="AZ133" s="19">
        <f t="shared" si="75"/>
        <v>0</v>
      </c>
      <c r="BA133" s="19">
        <f t="shared" si="76"/>
        <v>0</v>
      </c>
      <c r="BB133" s="19">
        <f t="shared" si="77"/>
        <v>0</v>
      </c>
      <c r="BC133">
        <f t="shared" si="78"/>
        <v>9</v>
      </c>
    </row>
    <row r="134" spans="33:55" ht="15">
      <c r="AG134">
        <v>11</v>
      </c>
      <c r="AH134" s="19">
        <f t="shared" si="60"/>
        <v>0</v>
      </c>
      <c r="AI134" s="19">
        <f t="shared" si="61"/>
        <v>0</v>
      </c>
      <c r="AJ134" s="19">
        <f t="shared" si="62"/>
        <v>0</v>
      </c>
      <c r="AK134" s="19">
        <f t="shared" si="63"/>
        <v>0</v>
      </c>
      <c r="AL134" s="19">
        <f t="shared" si="64"/>
        <v>0</v>
      </c>
      <c r="AM134" s="19">
        <f t="shared" si="65"/>
        <v>0</v>
      </c>
      <c r="AN134" s="19">
        <f t="shared" si="66"/>
        <v>0</v>
      </c>
      <c r="AO134">
        <f t="shared" si="68"/>
        <v>0</v>
      </c>
      <c r="AQ134">
        <f t="shared" si="69"/>
        <v>0.59</v>
      </c>
      <c r="AU134">
        <v>8</v>
      </c>
      <c r="AV134" s="19">
        <f t="shared" si="71"/>
        <v>0</v>
      </c>
      <c r="AW134" s="19">
        <f t="shared" si="72"/>
        <v>0</v>
      </c>
      <c r="AX134" s="19">
        <f t="shared" si="73"/>
        <v>0</v>
      </c>
      <c r="AY134" s="19">
        <f t="shared" si="74"/>
        <v>9</v>
      </c>
      <c r="AZ134" s="19">
        <f t="shared" si="75"/>
        <v>0</v>
      </c>
      <c r="BA134" s="19">
        <f t="shared" si="76"/>
        <v>0</v>
      </c>
      <c r="BB134" s="19">
        <f t="shared" si="77"/>
        <v>0</v>
      </c>
      <c r="BC134">
        <f t="shared" si="78"/>
        <v>9</v>
      </c>
    </row>
    <row r="135" spans="33:55" ht="15">
      <c r="AG135">
        <v>12</v>
      </c>
      <c r="AH135" s="19">
        <f t="shared" si="60"/>
        <v>0</v>
      </c>
      <c r="AI135" s="19">
        <f t="shared" si="61"/>
        <v>0</v>
      </c>
      <c r="AJ135" s="19">
        <f t="shared" si="62"/>
        <v>0</v>
      </c>
      <c r="AK135" s="19">
        <f t="shared" si="63"/>
        <v>0</v>
      </c>
      <c r="AL135" s="19">
        <f t="shared" si="64"/>
        <v>0</v>
      </c>
      <c r="AM135" s="19">
        <f t="shared" si="65"/>
        <v>0</v>
      </c>
      <c r="AN135" s="19">
        <f t="shared" si="66"/>
        <v>0</v>
      </c>
      <c r="AO135">
        <f t="shared" si="68"/>
        <v>0</v>
      </c>
      <c r="AQ135">
        <f t="shared" si="69"/>
        <v>0.59</v>
      </c>
      <c r="AU135">
        <v>9</v>
      </c>
      <c r="AV135" s="19">
        <f t="shared" si="71"/>
        <v>0</v>
      </c>
      <c r="AW135" s="19">
        <f t="shared" si="72"/>
        <v>0</v>
      </c>
      <c r="AX135" s="19">
        <f t="shared" si="73"/>
        <v>0</v>
      </c>
      <c r="AY135" s="19">
        <f t="shared" si="74"/>
        <v>9</v>
      </c>
      <c r="AZ135" s="19">
        <f t="shared" si="75"/>
        <v>0</v>
      </c>
      <c r="BA135" s="19">
        <f t="shared" si="76"/>
        <v>0</v>
      </c>
      <c r="BB135" s="19">
        <f t="shared" si="77"/>
        <v>0</v>
      </c>
      <c r="BC135">
        <f t="shared" si="78"/>
        <v>9</v>
      </c>
    </row>
    <row r="136" spans="33:55" ht="15">
      <c r="AG136">
        <v>13</v>
      </c>
      <c r="AH136" s="19">
        <f t="shared" si="60"/>
        <v>0</v>
      </c>
      <c r="AI136" s="19">
        <f t="shared" si="61"/>
        <v>0</v>
      </c>
      <c r="AJ136" s="19">
        <f t="shared" si="62"/>
        <v>0</v>
      </c>
      <c r="AK136" s="19">
        <f t="shared" si="63"/>
        <v>0</v>
      </c>
      <c r="AL136" s="19">
        <f t="shared" si="64"/>
        <v>0</v>
      </c>
      <c r="AM136" s="19">
        <f t="shared" si="65"/>
        <v>0</v>
      </c>
      <c r="AN136" s="19">
        <f t="shared" si="66"/>
        <v>0</v>
      </c>
      <c r="AO136">
        <f t="shared" si="68"/>
        <v>0</v>
      </c>
      <c r="AQ136">
        <f t="shared" si="69"/>
        <v>0.59</v>
      </c>
      <c r="AU136">
        <v>10</v>
      </c>
      <c r="AV136" s="19">
        <f t="shared" si="71"/>
        <v>0</v>
      </c>
      <c r="AW136" s="19">
        <f t="shared" si="72"/>
        <v>0</v>
      </c>
      <c r="AX136" s="19">
        <f t="shared" si="73"/>
        <v>0</v>
      </c>
      <c r="AY136" s="19">
        <f t="shared" si="74"/>
        <v>9</v>
      </c>
      <c r="AZ136" s="19">
        <f t="shared" si="75"/>
        <v>0</v>
      </c>
      <c r="BA136" s="19">
        <f t="shared" si="76"/>
        <v>0</v>
      </c>
      <c r="BB136" s="19">
        <f t="shared" si="77"/>
        <v>0</v>
      </c>
      <c r="BC136">
        <f t="shared" si="78"/>
        <v>9</v>
      </c>
    </row>
    <row r="137" spans="33:55" ht="15">
      <c r="AG137">
        <v>14</v>
      </c>
      <c r="AH137" s="19">
        <f t="shared" si="60"/>
        <v>0</v>
      </c>
      <c r="AI137" s="19">
        <f t="shared" si="61"/>
        <v>0</v>
      </c>
      <c r="AJ137" s="19">
        <f t="shared" si="62"/>
        <v>0</v>
      </c>
      <c r="AK137" s="19">
        <f t="shared" si="63"/>
        <v>0</v>
      </c>
      <c r="AL137" s="19">
        <f t="shared" si="64"/>
        <v>0</v>
      </c>
      <c r="AM137" s="19">
        <f t="shared" si="65"/>
        <v>0</v>
      </c>
      <c r="AN137" s="19">
        <f t="shared" si="66"/>
        <v>0</v>
      </c>
      <c r="AO137">
        <f t="shared" si="68"/>
        <v>0</v>
      </c>
      <c r="AQ137">
        <f t="shared" si="69"/>
        <v>0.59</v>
      </c>
      <c r="AU137">
        <v>11</v>
      </c>
      <c r="AV137" s="19">
        <f t="shared" si="71"/>
        <v>0</v>
      </c>
      <c r="AW137" s="19">
        <f t="shared" si="72"/>
        <v>0</v>
      </c>
      <c r="AX137" s="19">
        <f t="shared" si="73"/>
        <v>0</v>
      </c>
      <c r="AY137" s="19">
        <f t="shared" si="74"/>
        <v>0</v>
      </c>
      <c r="AZ137" s="19">
        <f t="shared" si="75"/>
        <v>0</v>
      </c>
      <c r="BA137" s="19">
        <f t="shared" si="76"/>
        <v>0</v>
      </c>
      <c r="BB137" s="19">
        <f t="shared" si="77"/>
        <v>0</v>
      </c>
      <c r="BC137">
        <f t="shared" si="78"/>
        <v>0</v>
      </c>
    </row>
    <row r="138" spans="12:55" ht="15">
      <c r="L138" t="s">
        <v>227</v>
      </c>
      <c r="AG138">
        <v>15</v>
      </c>
      <c r="AH138" s="19">
        <f t="shared" si="60"/>
        <v>0</v>
      </c>
      <c r="AI138" s="19">
        <f t="shared" si="61"/>
        <v>0</v>
      </c>
      <c r="AJ138" s="19">
        <f t="shared" si="62"/>
        <v>0</v>
      </c>
      <c r="AK138" s="19">
        <f t="shared" si="63"/>
        <v>0</v>
      </c>
      <c r="AL138" s="19">
        <f t="shared" si="64"/>
        <v>0</v>
      </c>
      <c r="AM138" s="19">
        <f t="shared" si="65"/>
        <v>0</v>
      </c>
      <c r="AN138" s="19">
        <f t="shared" si="66"/>
        <v>0</v>
      </c>
      <c r="AO138">
        <f t="shared" si="68"/>
        <v>0</v>
      </c>
      <c r="AQ138">
        <f t="shared" si="69"/>
        <v>0.59</v>
      </c>
      <c r="AU138">
        <v>12</v>
      </c>
      <c r="AV138" s="19">
        <f t="shared" si="71"/>
        <v>0</v>
      </c>
      <c r="AW138" s="19">
        <f t="shared" si="72"/>
        <v>0</v>
      </c>
      <c r="AX138" s="19">
        <f t="shared" si="73"/>
        <v>0</v>
      </c>
      <c r="AY138" s="19">
        <f t="shared" si="74"/>
        <v>0</v>
      </c>
      <c r="AZ138" s="19">
        <f t="shared" si="75"/>
        <v>0</v>
      </c>
      <c r="BA138" s="19">
        <f t="shared" si="76"/>
        <v>0</v>
      </c>
      <c r="BB138" s="19">
        <f t="shared" si="77"/>
        <v>0</v>
      </c>
      <c r="BC138">
        <f t="shared" si="78"/>
        <v>0</v>
      </c>
    </row>
    <row r="139" spans="43:55" ht="15">
      <c r="AQ139">
        <f t="shared" si="69"/>
        <v>0.59</v>
      </c>
      <c r="AU139">
        <v>13</v>
      </c>
      <c r="AV139" s="19">
        <f t="shared" si="71"/>
        <v>0</v>
      </c>
      <c r="AW139" s="19">
        <f t="shared" si="72"/>
        <v>0</v>
      </c>
      <c r="AX139" s="19">
        <f t="shared" si="73"/>
        <v>0</v>
      </c>
      <c r="AY139" s="19">
        <f t="shared" si="74"/>
        <v>0</v>
      </c>
      <c r="AZ139" s="19">
        <f t="shared" si="75"/>
        <v>0</v>
      </c>
      <c r="BA139" s="19">
        <f t="shared" si="76"/>
        <v>0</v>
      </c>
      <c r="BB139" s="19">
        <f t="shared" si="77"/>
        <v>0</v>
      </c>
      <c r="BC139">
        <f t="shared" si="78"/>
        <v>0</v>
      </c>
    </row>
    <row r="140" spans="17:55" ht="15">
      <c r="Q140" t="s">
        <v>6</v>
      </c>
      <c r="AQ140">
        <f t="shared" si="69"/>
        <v>0.59</v>
      </c>
      <c r="AU140">
        <v>14</v>
      </c>
      <c r="AV140" s="19">
        <f t="shared" si="71"/>
        <v>0</v>
      </c>
      <c r="AW140" s="19">
        <f t="shared" si="72"/>
        <v>0</v>
      </c>
      <c r="AX140" s="19">
        <f t="shared" si="73"/>
        <v>0</v>
      </c>
      <c r="AY140" s="19">
        <f t="shared" si="74"/>
        <v>0</v>
      </c>
      <c r="AZ140" s="19">
        <f t="shared" si="75"/>
        <v>0</v>
      </c>
      <c r="BA140" s="19">
        <f t="shared" si="76"/>
        <v>0</v>
      </c>
      <c r="BB140" s="19">
        <f t="shared" si="77"/>
        <v>0</v>
      </c>
      <c r="BC140">
        <f t="shared" si="78"/>
        <v>0</v>
      </c>
    </row>
    <row r="141" spans="10:55" ht="15">
      <c r="J141" t="s">
        <v>33</v>
      </c>
      <c r="M141" t="s">
        <v>66</v>
      </c>
      <c r="N141">
        <v>1</v>
      </c>
      <c r="O141">
        <v>2</v>
      </c>
      <c r="P141">
        <v>3</v>
      </c>
      <c r="Q141">
        <v>4</v>
      </c>
      <c r="R141">
        <v>5</v>
      </c>
      <c r="S141">
        <v>6</v>
      </c>
      <c r="T141">
        <v>7</v>
      </c>
      <c r="U141">
        <v>8</v>
      </c>
      <c r="V141">
        <v>9</v>
      </c>
      <c r="W141">
        <v>10</v>
      </c>
      <c r="X141">
        <v>11</v>
      </c>
      <c r="Y141">
        <v>12</v>
      </c>
      <c r="Z141">
        <v>13</v>
      </c>
      <c r="AA141">
        <v>14</v>
      </c>
      <c r="AB141">
        <v>15</v>
      </c>
      <c r="AC141">
        <v>16</v>
      </c>
      <c r="AD141">
        <v>17</v>
      </c>
      <c r="AE141">
        <v>18</v>
      </c>
      <c r="AF141">
        <v>19</v>
      </c>
      <c r="AG141">
        <v>20</v>
      </c>
      <c r="AH141">
        <v>21</v>
      </c>
      <c r="AI141" t="s">
        <v>82</v>
      </c>
      <c r="AQ141">
        <f t="shared" si="69"/>
        <v>0.59</v>
      </c>
      <c r="AU141">
        <v>15</v>
      </c>
      <c r="AV141" s="19">
        <f t="shared" si="71"/>
        <v>0</v>
      </c>
      <c r="AW141" s="19">
        <f>IF(AND($AU141&gt;$E$78,$AU141&lt;=SUM($E$78:$E$79)),$C$78,0)</f>
        <v>0</v>
      </c>
      <c r="AX141" s="19">
        <f t="shared" si="73"/>
        <v>0</v>
      </c>
      <c r="AY141" s="19">
        <f t="shared" si="74"/>
        <v>0</v>
      </c>
      <c r="AZ141" s="19">
        <f t="shared" si="75"/>
        <v>0</v>
      </c>
      <c r="BA141" s="19">
        <f t="shared" si="76"/>
        <v>0</v>
      </c>
      <c r="BB141" s="19">
        <f t="shared" si="77"/>
        <v>0</v>
      </c>
      <c r="BC141">
        <f t="shared" si="78"/>
        <v>0</v>
      </c>
    </row>
    <row r="142" spans="10:43" ht="15">
      <c r="J142" t="s">
        <v>228</v>
      </c>
      <c r="N142">
        <f>IF($H$109=$BE$43,$BE44*$F$108/100,IF($H$109=$BF$43,$BF44*$F$108/100,IF($H$109=$BG$43,$BG44*$F$108/100,IF($H$109=$BH$43,$BH44*$F$108/100,IF($H$109=$BI$43,$BI44*$F$108/100,$BJ44*$F$108/100)))))</f>
        <v>2570.4</v>
      </c>
      <c r="O142">
        <f>IF($H$109=$BE$43,$BE45*$F$108/100,IF($H$109=$BF$43,$BF45*$F$108/100,IF($H$109=$BG$43,$BG45*$F$108/100,IF($H$109=$BH$43,$BH45*$F$108/100,IF($H$109=$BI$43,$BI45*$F$108/100,$BJ45*$F$108/100)))))</f>
        <v>4591.2</v>
      </c>
      <c r="P142">
        <f>IF($H$109=$BE$43,$BE46*$F$108/100,IF($H$109=$BF$43,$BF46*$F$108/100,IF($H$109=$BG$43,$BG46*$F$108/100,IF($H$109=$BH$43,$BH46*$F$108/100,IF($H$109=$BI$43,$BI46*$F$108/100,$BJ46*$F$108/100)))))</f>
        <v>3607.2</v>
      </c>
      <c r="Q142">
        <f>IF($H$109=$BE$43,$BE47*$F$108/100,IF($H$109=$BF$43,$BF47*$F$108/100,IF($H$109=$BG$43,$BG47*$F$108/100,IF($H$109=$BH$43,$BH47*$F$108/100,IF($H$109=$BI$43,$BI47*$F$108/100,$BJ47*$F$108/100)))))</f>
        <v>2940</v>
      </c>
      <c r="R142">
        <f>IF($H$109=$BE$43,$BE48*$F$108/100,IF($H$109=$BF$43,$BF48*$F$108/100,IF($H$109=$BG$43,$BG48*$F$108/100,IF($H$109=$BH$43,$BH48*$F$108/100,IF($H$109=$BI$43,$BI48*$F$108/100,$BJ48*$F$108/100)))))</f>
        <v>2940</v>
      </c>
      <c r="S142">
        <f>IF($H$109=$BE$43,$BE49*$F$108/100,IF($H$109=$BF$43,$BF49*$F$108/100,IF($H$109=$BG$43,$BG49*$F$108/100,IF($H$109=$BH$43,$BH49*$F$108/100,IF($H$109=$BI$43,$BI49*$F$108/100,$BJ49*$F$108/100)))))</f>
        <v>2940</v>
      </c>
      <c r="T142">
        <f>IF($H$109=$BE$43,$BE50*$F$108/100,IF($H$109=$BF$43,$BF50*$F$108/100,IF($H$109=$BG$43,$BG50*$F$108/100,IF($H$109=$BH$43,$BH50*$F$108/100,IF($H$109=$BI$43,$BI50*$F$108/100,$BJ50*$F$108/100)))))</f>
        <v>2940</v>
      </c>
      <c r="U142">
        <f>IF($H$109=$BE$43,$BE51*$F$108/100,IF($H$109=$BF$43,$BF51*$F$108/100,IF($H$109=$BG$43,$BG51*$F$108/100,IF($H$109=$BH$43,$BH51*$F$108/100,IF($H$109=$BI$43,$BI51*$F$108/100,$BJ51*$F$108/100)))))</f>
        <v>1471.2</v>
      </c>
      <c r="V142">
        <f>IF($H$109=$BE$43,$BE52*$F$108/100,IF($H$109=$BF$43,$BF52*$F$108/100,IF($H$109=$BG$43,$BG52*$F$108/100,IF($H$109=$BH$43,$BH52*$F$108/100,IF($H$109=$BI$43,$BI52*$F$108/100,$BJ52*$F$108/100)))))</f>
        <v>0</v>
      </c>
      <c r="W142">
        <f>IF($H$109=$BE$43,$BE53*$F$108/100,IF($H$109=$BF$43,$BF53*$F$108/100,IF($H$109=$BG$43,$BG53*$F$108/100,IF($H$109=$BH$43,$BH53*$F$108/100,IF($H$109=$BI$43,$BI53*$F$108/100,$BJ53*$F$108/100)))))</f>
        <v>0</v>
      </c>
      <c r="X142">
        <f>IF($H$109=$BE$43,$BE54*$F$108/100,IF($H$109=$BF$43,$BF54*$F$108/100,IF($H$109=$BG$43,$BG54*$F$108/100,IF($H$109=$BH$43,$BH54*$F$108/100,IF($H$109=$BI$43,$BI54*$F$108/100,$BJ54*$F$108/100)))))</f>
        <v>0</v>
      </c>
      <c r="Y142">
        <f>IF($H$109=$BE$43,$BE55*$F$108/100,IF($H$109=$BF$43,$BF55*$F$108/100,IF($H$109=$BG$43,$BG55*$F$108/100,IF($H$109=$BH$43,$BH55*$F$108/100,IF($H$109=$BI$43,$BI55*$F$108/100,$BJ55*$F$108/100)))))</f>
        <v>0</v>
      </c>
      <c r="Z142">
        <f>IF($H$109=$BE$43,$BE56*$F$108/100,IF($H$109=$BF$43,$BF56*$F$108/100,IF($H$109=$BG$43,$BG56*$F$108/100,IF($H$109=$BH$43,$BH56*$F$108/100,IF($H$109=$BI$43,$BI56*$F$108/100,$BJ56*$F$108/100)))))</f>
        <v>0</v>
      </c>
      <c r="AA142">
        <f>IF($H$109=$BE$43,$BE57*$F$108/100,IF($H$109=$BF$43,$BF57*$F$108/100,IF($H$109=$BG$43,$BG57*$F$108/100,IF($H$109=$BH$43,$BH57*$F$108/100,IF($H$109=$BI$43,$BI57*$F$108/100,$BJ57*$F$108/100)))))</f>
        <v>0</v>
      </c>
      <c r="AB142">
        <f>IF($H$109=$BE$43,$BE58*$F$108/100,IF($H$109=$BF$43,$BF58*$F$108/100,IF($H$109=$BG$43,$BG58*$F$108/100,IF($H$109=$BH$43,$BH58*$F$108/100,IF($H$109=$BI$43,$BI58*$F$108/100,$BJ58*$F$108/100)))))</f>
        <v>0</v>
      </c>
      <c r="AC142">
        <f>IF($H$109=$BE$43,$BE59*$F$108/100,IF($H$109=$BF$43,$BF59*$F$108/100,IF($H$109=$BG$43,$BG59*$F$108/100,IF($H$109=$BH$43,$BH59*$F$108/100,IF($H$109=$BI$43,$BI59*$F$108/100,$BJ59*$F$108/100)))))</f>
        <v>0</v>
      </c>
      <c r="AD142">
        <f>IF($H$109=$BE$43,$BE60*$F$108/100,IF($H$109=$BF$43,$BF60*$F$108/100,IF($H$109=$BG$43,$BG60*$F$108/100,IF($H$109=$BH$43,$BH60*$F$108/100,IF($H$109=$BI$43,$BI60*$F$108/100,$BJ60*$F$108/100)))))</f>
        <v>0</v>
      </c>
      <c r="AE142">
        <f>IF($H$109=$BE$43,$BE61*$F$108/100,IF($H$109=$BF$43,$BF61*$F$108/100,IF($H$109=$BG$43,$BG61*$F$108/100,IF($H$109=$BH$43,$BH61*$F$108/100,IF($H$109=$BI$43,$BI61*$F$108/100,$BJ61*$F$108/100)))))</f>
        <v>0</v>
      </c>
      <c r="AF142">
        <f>IF($H$109=$BE$43,$BE62*$F$108/100,IF($H$109=$BF$43,$BF62*$F$108/100,IF($H$109=$BG$43,$BG62*$F$108/100,IF($H$109=$BH$43,$BH62*$F$108/100,IF($H$109=$BI$43,$BI62*$F$108/100,$BJ62*$F$108/100)))))</f>
        <v>0</v>
      </c>
      <c r="AG142">
        <f>IF($H$109=$BE$43,$BE63*$F$108/100,IF($H$109=$BF$43,$BF63*$F$108/100,IF($H$109=$BG$43,$BG63*$F$108/100,IF($H$109=$BH$43,$BH63*$F$108/100,IF($H$109=$BI$43,$BI63*$F$108/100,$BJ63*$F$108/100)))))</f>
        <v>0</v>
      </c>
      <c r="AH142">
        <f>IF($H$109=$BE$43,$BE64*$F$108/100,IF($H$109=$BF$43,$BF64*$F$108/100,IF($H$109=$BG$43,$BG64*$F$108/100,IF($H$109=$BH$43,$BH64*$F$108/100,IF($H$109=$BI$43,$BI64*$F$108/100,$BJ64*$F$108/100)))))</f>
        <v>0</v>
      </c>
      <c r="AI142">
        <f>SUM(N142:AH142)</f>
        <v>24000</v>
      </c>
      <c r="AQ142">
        <f t="shared" si="69"/>
        <v>0.59</v>
      </c>
    </row>
    <row r="143" spans="10:43" ht="15" thickBot="1">
      <c r="J143" s="23" t="s">
        <v>231</v>
      </c>
      <c r="M143" s="22">
        <f>AO223/100</f>
        <v>0</v>
      </c>
      <c r="N143" s="22">
        <f>$AO$101/100</f>
        <v>0.46</v>
      </c>
      <c r="O143" s="22">
        <f>$AO$102/100</f>
        <v>0.34</v>
      </c>
      <c r="P143" s="22">
        <f>$AO$103/100</f>
        <v>0.34</v>
      </c>
      <c r="Q143" s="22">
        <f>$AO$104/100</f>
        <v>0.34</v>
      </c>
      <c r="R143" s="22">
        <f>$AO$105/100</f>
        <v>0.34</v>
      </c>
      <c r="S143" s="22">
        <f>$AO$106/100</f>
        <v>0.34</v>
      </c>
      <c r="T143" s="22">
        <f>$AO$107/100</f>
        <v>0.34</v>
      </c>
      <c r="U143" s="22">
        <f>$AO$108/100</f>
        <v>0.34</v>
      </c>
      <c r="V143" s="22">
        <f>$AO$109/100</f>
        <v>0.34</v>
      </c>
      <c r="W143" s="22">
        <f>$AO$110/100</f>
        <v>0.34</v>
      </c>
      <c r="X143" s="22">
        <f>$AO$111/100</f>
        <v>0</v>
      </c>
      <c r="Y143" s="22">
        <f>$AO$112/100</f>
        <v>0</v>
      </c>
      <c r="Z143" s="22">
        <f>$AO$113/100</f>
        <v>0</v>
      </c>
      <c r="AA143" s="22">
        <f>$AO$114/100</f>
        <v>0</v>
      </c>
      <c r="AB143" s="22">
        <f>$AO$115/100</f>
        <v>0</v>
      </c>
      <c r="AC143" s="22">
        <f>$AO$116/100</f>
        <v>0</v>
      </c>
      <c r="AD143" s="22">
        <f>$AO$117/100</f>
        <v>0</v>
      </c>
      <c r="AE143" s="22">
        <f>$AO$118/100</f>
        <v>0</v>
      </c>
      <c r="AF143" s="22">
        <f>$AO$119/100</f>
        <v>0</v>
      </c>
      <c r="AG143" s="22">
        <f>$AO$120/100</f>
        <v>0</v>
      </c>
      <c r="AH143" s="22">
        <f>$AO$121/100</f>
        <v>0</v>
      </c>
      <c r="AQ143">
        <f t="shared" si="69"/>
        <v>0.59</v>
      </c>
    </row>
    <row r="144" spans="10:43" ht="15">
      <c r="J144" s="23" t="s">
        <v>236</v>
      </c>
      <c r="M144" s="9">
        <f aca="true" t="shared" si="81" ref="M144:AH144">TRUNC(ROUND(+M142*M143,0))</f>
        <v>0</v>
      </c>
      <c r="N144" s="9">
        <f t="shared" si="81"/>
        <v>1182</v>
      </c>
      <c r="O144" s="9">
        <f t="shared" si="81"/>
        <v>1561</v>
      </c>
      <c r="P144" s="9">
        <f t="shared" si="81"/>
        <v>1226</v>
      </c>
      <c r="Q144" s="9">
        <f t="shared" si="81"/>
        <v>1000</v>
      </c>
      <c r="R144" s="9">
        <f t="shared" si="81"/>
        <v>1000</v>
      </c>
      <c r="S144" s="9">
        <f t="shared" si="81"/>
        <v>1000</v>
      </c>
      <c r="T144" s="9">
        <f t="shared" si="81"/>
        <v>1000</v>
      </c>
      <c r="U144" s="9">
        <f t="shared" si="81"/>
        <v>500</v>
      </c>
      <c r="V144" s="9">
        <f t="shared" si="81"/>
        <v>0</v>
      </c>
      <c r="W144" s="9">
        <f t="shared" si="81"/>
        <v>0</v>
      </c>
      <c r="X144" s="9">
        <f t="shared" si="81"/>
        <v>0</v>
      </c>
      <c r="Y144" s="9">
        <f t="shared" si="81"/>
        <v>0</v>
      </c>
      <c r="Z144" s="9">
        <f t="shared" si="81"/>
        <v>0</v>
      </c>
      <c r="AA144" s="9">
        <f t="shared" si="81"/>
        <v>0</v>
      </c>
      <c r="AB144" s="9">
        <f t="shared" si="81"/>
        <v>0</v>
      </c>
      <c r="AC144" s="9">
        <f t="shared" si="81"/>
        <v>0</v>
      </c>
      <c r="AD144" s="9">
        <f t="shared" si="81"/>
        <v>0</v>
      </c>
      <c r="AE144" s="9">
        <f t="shared" si="81"/>
        <v>0</v>
      </c>
      <c r="AF144" s="9">
        <f t="shared" si="81"/>
        <v>0</v>
      </c>
      <c r="AG144" s="9">
        <f t="shared" si="81"/>
        <v>0</v>
      </c>
      <c r="AH144" s="9">
        <f t="shared" si="81"/>
        <v>0</v>
      </c>
      <c r="AI144">
        <f>SUM(N144:AH144)</f>
        <v>8469</v>
      </c>
      <c r="AQ144">
        <f t="shared" si="69"/>
        <v>0.59</v>
      </c>
    </row>
    <row r="145" spans="10:48" ht="15" thickBot="1">
      <c r="J145" t="s">
        <v>233</v>
      </c>
      <c r="M145" s="5">
        <v>1</v>
      </c>
      <c r="N145" s="5">
        <f>$AQ$124</f>
        <v>0.96</v>
      </c>
      <c r="O145" s="5">
        <f>$AQ$125</f>
        <v>0.91</v>
      </c>
      <c r="P145" s="5">
        <f>$AQ$126</f>
        <v>0.86</v>
      </c>
      <c r="Q145" s="5">
        <f>$AQ$127</f>
        <v>0.81</v>
      </c>
      <c r="R145" s="5">
        <f>$AQ$128</f>
        <v>0.77</v>
      </c>
      <c r="S145" s="5">
        <f>$AQ$129</f>
        <v>0.73</v>
      </c>
      <c r="T145" s="5">
        <f>$AQ$130</f>
        <v>0.69</v>
      </c>
      <c r="U145" s="5">
        <f>$AQ$131</f>
        <v>0.65</v>
      </c>
      <c r="V145" s="5">
        <f>$AQ$132</f>
        <v>0.62</v>
      </c>
      <c r="W145" s="5">
        <f>$AQ$133</f>
        <v>0.59</v>
      </c>
      <c r="X145" s="5">
        <f>$AQ$134</f>
        <v>0.59</v>
      </c>
      <c r="Y145" s="5">
        <f>$AQ$135</f>
        <v>0.59</v>
      </c>
      <c r="Z145" s="5">
        <f>$AQ$136</f>
        <v>0.59</v>
      </c>
      <c r="AA145" s="5">
        <f>$AQ$137</f>
        <v>0.59</v>
      </c>
      <c r="AB145" s="5">
        <f>$AQ$138</f>
        <v>0.59</v>
      </c>
      <c r="AC145" s="5">
        <f>$AQ$139</f>
        <v>0.59</v>
      </c>
      <c r="AD145" s="5">
        <f>$AQ$140</f>
        <v>0.59</v>
      </c>
      <c r="AE145" s="5">
        <f>$AQ$141</f>
        <v>0.59</v>
      </c>
      <c r="AF145" s="5">
        <f>$AQ$142</f>
        <v>0.59</v>
      </c>
      <c r="AG145" s="5">
        <f>$AQ$143</f>
        <v>0.59</v>
      </c>
      <c r="AH145" s="5">
        <f>$AQ$144</f>
        <v>0.59</v>
      </c>
      <c r="AV145" t="s">
        <v>246</v>
      </c>
    </row>
    <row r="146" spans="10:54" ht="15">
      <c r="J146" s="23" t="s">
        <v>237</v>
      </c>
      <c r="M146">
        <f>M144*M145</f>
        <v>0</v>
      </c>
      <c r="N146">
        <f aca="true" t="shared" si="82" ref="N146:AH146">N144*N145</f>
        <v>1134.72</v>
      </c>
      <c r="O146">
        <f t="shared" si="82"/>
        <v>1420.51</v>
      </c>
      <c r="P146">
        <f t="shared" si="82"/>
        <v>1054.36</v>
      </c>
      <c r="Q146">
        <f t="shared" si="82"/>
        <v>810</v>
      </c>
      <c r="R146">
        <f t="shared" si="82"/>
        <v>770</v>
      </c>
      <c r="S146">
        <f t="shared" si="82"/>
        <v>730</v>
      </c>
      <c r="T146">
        <f t="shared" si="82"/>
        <v>690</v>
      </c>
      <c r="U146">
        <f t="shared" si="82"/>
        <v>325</v>
      </c>
      <c r="V146">
        <f t="shared" si="82"/>
        <v>0</v>
      </c>
      <c r="W146">
        <f t="shared" si="82"/>
        <v>0</v>
      </c>
      <c r="X146">
        <f t="shared" si="82"/>
        <v>0</v>
      </c>
      <c r="Y146">
        <f t="shared" si="82"/>
        <v>0</v>
      </c>
      <c r="Z146">
        <f t="shared" si="82"/>
        <v>0</v>
      </c>
      <c r="AA146">
        <f t="shared" si="82"/>
        <v>0</v>
      </c>
      <c r="AB146">
        <f t="shared" si="82"/>
        <v>0</v>
      </c>
      <c r="AC146">
        <f t="shared" si="82"/>
        <v>0</v>
      </c>
      <c r="AD146">
        <f t="shared" si="82"/>
        <v>0</v>
      </c>
      <c r="AE146">
        <f t="shared" si="82"/>
        <v>0</v>
      </c>
      <c r="AF146">
        <f t="shared" si="82"/>
        <v>0</v>
      </c>
      <c r="AG146">
        <f t="shared" si="82"/>
        <v>0</v>
      </c>
      <c r="AH146">
        <f t="shared" si="82"/>
        <v>0</v>
      </c>
      <c r="AI146">
        <f>SUM(N146:AH146)</f>
        <v>6934.59</v>
      </c>
      <c r="AV146" t="s">
        <v>247</v>
      </c>
      <c r="AW146" t="s">
        <v>249</v>
      </c>
      <c r="AX146" t="s">
        <v>252</v>
      </c>
      <c r="AY146" t="s">
        <v>252</v>
      </c>
      <c r="AZ146" s="23" t="s">
        <v>257</v>
      </c>
      <c r="BA146" t="s">
        <v>258</v>
      </c>
      <c r="BB146" t="s">
        <v>7</v>
      </c>
    </row>
    <row r="147" spans="47:54" ht="15">
      <c r="AU147" t="s">
        <v>6</v>
      </c>
      <c r="AV147" t="s">
        <v>248</v>
      </c>
      <c r="AW147" t="s">
        <v>250</v>
      </c>
      <c r="AX147" t="s">
        <v>253</v>
      </c>
      <c r="AY147" s="23" t="s">
        <v>261</v>
      </c>
      <c r="AZ147" s="23" t="s">
        <v>264</v>
      </c>
      <c r="BA147" t="s">
        <v>259</v>
      </c>
      <c r="BB147" t="s">
        <v>263</v>
      </c>
    </row>
    <row r="148" spans="18:54" ht="15">
      <c r="R148" t="s">
        <v>234</v>
      </c>
      <c r="V148">
        <f>F108</f>
        <v>24000</v>
      </c>
      <c r="AU148">
        <v>0</v>
      </c>
      <c r="AV148" s="23" t="s">
        <v>256</v>
      </c>
      <c r="AW148" t="s">
        <v>251</v>
      </c>
      <c r="AX148" t="s">
        <v>254</v>
      </c>
      <c r="AY148" t="s">
        <v>255</v>
      </c>
      <c r="AZ148" t="s">
        <v>255</v>
      </c>
      <c r="BA148" t="s">
        <v>260</v>
      </c>
      <c r="BB148" t="s">
        <v>260</v>
      </c>
    </row>
    <row r="149" spans="18:54" ht="15">
      <c r="R149" t="s">
        <v>231</v>
      </c>
      <c r="V149">
        <f>N143</f>
        <v>0.46</v>
      </c>
      <c r="AQ149" t="s">
        <v>262</v>
      </c>
      <c r="AU149">
        <v>1</v>
      </c>
      <c r="AV149" s="42">
        <f>IF(AU149&lt;=$D$74,PMT($BC127/100/$D$75,($D$74-AU148)*$D$75,-1,0,0),0)</f>
        <v>0.019332801529428425</v>
      </c>
      <c r="AW149" s="42">
        <f>AV149*$D$75</f>
        <v>0.23199361835314108</v>
      </c>
      <c r="AX149" s="42">
        <f>(IF(AU149&lt;=$D$74,FV(BC127/100/$D$75,$D$75,AV149,-1,0),0))</f>
        <v>0.823196832755346</v>
      </c>
      <c r="AY149" s="42">
        <f>IF(AU149&lt;=$D$74,AX149,0)</f>
        <v>0.823196832755346</v>
      </c>
      <c r="AZ149" s="42">
        <f>AW149</f>
        <v>0.23199361835314108</v>
      </c>
      <c r="BA149" s="42">
        <f>1-AY149</f>
        <v>0.17680316724465395</v>
      </c>
      <c r="BB149" s="42">
        <f>IF(AU149&lt;=$D$74,(AW149-BA149)/AW149,0)</f>
        <v>0.23789641930786276</v>
      </c>
    </row>
    <row r="150" spans="18:63" ht="15">
      <c r="R150" t="s">
        <v>235</v>
      </c>
      <c r="V150" s="9">
        <f>TRUNC(ROUND(+V148*V149,0))</f>
        <v>11040</v>
      </c>
      <c r="AS150" s="41"/>
      <c r="AT150" s="39"/>
      <c r="AU150">
        <v>2</v>
      </c>
      <c r="AV150" s="42">
        <f>IF(AU150&lt;=$D$74,-PMT($BC128/100/$D$75,($D$74-AU149)*$D$75,AX149,0,0),0)</f>
        <v>0.01971247276250756</v>
      </c>
      <c r="AW150" s="42">
        <f aca="true" t="shared" si="83" ref="AW150:AW163">AV150*$D$75</f>
        <v>0.2365496731500907</v>
      </c>
      <c r="AX150" s="42">
        <f>(IF(AU150&lt;=$D$74,FV(BC128/100/$D$75,$D$75,AV150,-AX149,0),0))</f>
        <v>0.6384172983767383</v>
      </c>
      <c r="AY150" s="42">
        <f aca="true" t="shared" si="84" ref="AY150:AY163">IF(AU150&lt;=$D$74,AX150,0)</f>
        <v>0.6384172983767383</v>
      </c>
      <c r="AZ150" s="42">
        <f aca="true" t="shared" si="85" ref="AZ150:AZ163">AW150</f>
        <v>0.2365496731500907</v>
      </c>
      <c r="BA150" s="42">
        <f>AY149-AY150</f>
        <v>0.18477953437860772</v>
      </c>
      <c r="BB150" s="42">
        <f aca="true" t="shared" si="86" ref="BB150:BB163">IF(AU150&lt;=$D$74,(AW150-BA150)/AW150,0)</f>
        <v>0.21885525387572546</v>
      </c>
      <c r="BE150" s="24"/>
      <c r="BF150" t="s">
        <v>132</v>
      </c>
      <c r="BK150" s="30"/>
    </row>
    <row r="151" spans="18:63" ht="15" thickBot="1">
      <c r="R151" t="s">
        <v>233</v>
      </c>
      <c r="V151">
        <f>N145</f>
        <v>0.96</v>
      </c>
      <c r="AU151">
        <v>3</v>
      </c>
      <c r="AV151" s="42">
        <f aca="true" t="shared" si="87" ref="AV151:AV163">IF(AU151&lt;=$D$74,-PMT($BC129/100/$D$75,($D$74-AU150)*$D$75,AX150,0,0),0)</f>
        <v>0.020005677778832966</v>
      </c>
      <c r="AW151" s="42">
        <f t="shared" si="83"/>
        <v>0.24006813334599558</v>
      </c>
      <c r="AX151" s="42">
        <f aca="true" t="shared" si="88" ref="AX151:AX163">(IF(AU151&lt;=$D$74,FV(BC129/100/$D$75,$D$75,AV151,-AX150,0),0))</f>
        <v>0.44233641093042586</v>
      </c>
      <c r="AY151" s="42">
        <f t="shared" si="84"/>
        <v>0.44233641093042586</v>
      </c>
      <c r="AZ151" s="42">
        <f t="shared" si="85"/>
        <v>0.24006813334599558</v>
      </c>
      <c r="BA151" s="42">
        <f aca="true" t="shared" si="89" ref="BA151:BA163">AY150-AY151</f>
        <v>0.19608088744631247</v>
      </c>
      <c r="BB151" s="42">
        <f t="shared" si="86"/>
        <v>0.18322817479605666</v>
      </c>
      <c r="BG151" t="s">
        <v>133</v>
      </c>
      <c r="BI151" t="s">
        <v>134</v>
      </c>
      <c r="BK151" s="51">
        <f>D74</f>
        <v>5</v>
      </c>
    </row>
    <row r="152" spans="4:63" ht="15.75" thickBot="1">
      <c r="D152" s="3" t="s">
        <v>150</v>
      </c>
      <c r="R152" s="23" t="s">
        <v>271</v>
      </c>
      <c r="AU152">
        <v>4</v>
      </c>
      <c r="AV152" s="42">
        <f t="shared" si="87"/>
        <v>0.020208024934050703</v>
      </c>
      <c r="AW152" s="42">
        <f t="shared" si="83"/>
        <v>0.24249629920860843</v>
      </c>
      <c r="AX152" s="42">
        <f t="shared" si="88"/>
        <v>0.2310770004172344</v>
      </c>
      <c r="AY152" s="42">
        <f t="shared" si="84"/>
        <v>0.2310770004172344</v>
      </c>
      <c r="AZ152" s="42">
        <f t="shared" si="85"/>
        <v>0.24249629920860843</v>
      </c>
      <c r="BA152" s="42">
        <f t="shared" si="89"/>
        <v>0.21125941051319147</v>
      </c>
      <c r="BB152" s="42">
        <f t="shared" si="86"/>
        <v>0.1288138779740523</v>
      </c>
      <c r="BG152" t="s">
        <v>136</v>
      </c>
      <c r="BI152" t="s">
        <v>134</v>
      </c>
      <c r="BK152" s="51">
        <f>IF(D76&gt;0,D76,C78)</f>
        <v>6</v>
      </c>
    </row>
    <row r="153" spans="19:63" ht="15" thickBot="1">
      <c r="S153" t="s">
        <v>272</v>
      </c>
      <c r="V153">
        <f>V150*V151</f>
        <v>10598.4</v>
      </c>
      <c r="AU153">
        <v>5</v>
      </c>
      <c r="AV153" s="42">
        <f t="shared" si="87"/>
        <v>0.02020802493405066</v>
      </c>
      <c r="AW153" s="42">
        <f t="shared" si="83"/>
        <v>0.24249629920860793</v>
      </c>
      <c r="AX153" s="42">
        <f t="shared" si="88"/>
        <v>0</v>
      </c>
      <c r="AY153" s="42">
        <f t="shared" si="84"/>
        <v>0</v>
      </c>
      <c r="AZ153" s="42">
        <f t="shared" si="85"/>
        <v>0.24249629920860793</v>
      </c>
      <c r="BA153" s="42">
        <f t="shared" si="89"/>
        <v>0.2310770004172344</v>
      </c>
      <c r="BB153" s="42">
        <f t="shared" si="86"/>
        <v>0.04709061057278268</v>
      </c>
      <c r="BG153" t="s">
        <v>138</v>
      </c>
      <c r="BI153" t="s">
        <v>134</v>
      </c>
      <c r="BK153" s="51">
        <f>D75</f>
        <v>12</v>
      </c>
    </row>
    <row r="154" spans="1:54" ht="15" thickBot="1">
      <c r="A154" s="23" t="s">
        <v>43</v>
      </c>
      <c r="C154" t="str">
        <f>G21</f>
        <v>Les White</v>
      </c>
      <c r="E154" s="23" t="s">
        <v>154</v>
      </c>
      <c r="G154" t="str">
        <f>G20</f>
        <v>Chopper</v>
      </c>
      <c r="S154" t="s">
        <v>273</v>
      </c>
      <c r="V154" s="7">
        <f>AI146</f>
        <v>6934.59</v>
      </c>
      <c r="AU154">
        <v>6</v>
      </c>
      <c r="AV154" s="42">
        <f t="shared" si="87"/>
        <v>0</v>
      </c>
      <c r="AW154" s="42">
        <f t="shared" si="83"/>
        <v>0</v>
      </c>
      <c r="AX154" s="42">
        <f t="shared" si="88"/>
        <v>0</v>
      </c>
      <c r="AY154" s="42">
        <f t="shared" si="84"/>
        <v>0</v>
      </c>
      <c r="AZ154" s="42">
        <f t="shared" si="85"/>
        <v>0</v>
      </c>
      <c r="BA154" s="42">
        <f t="shared" si="89"/>
        <v>0</v>
      </c>
      <c r="BB154" s="42">
        <f t="shared" si="86"/>
        <v>0</v>
      </c>
    </row>
    <row r="155" spans="20:61" ht="15" thickBot="1">
      <c r="T155" t="s">
        <v>274</v>
      </c>
      <c r="V155">
        <f>V153-V154</f>
        <v>3663.8099999999995</v>
      </c>
      <c r="AU155">
        <v>7</v>
      </c>
      <c r="AV155" s="42">
        <f t="shared" si="87"/>
        <v>0</v>
      </c>
      <c r="AW155" s="42">
        <f t="shared" si="83"/>
        <v>0</v>
      </c>
      <c r="AX155" s="42">
        <f t="shared" si="88"/>
        <v>0</v>
      </c>
      <c r="AY155" s="42">
        <f t="shared" si="84"/>
        <v>0</v>
      </c>
      <c r="AZ155" s="42">
        <f t="shared" si="85"/>
        <v>0</v>
      </c>
      <c r="BA155" s="42">
        <f t="shared" si="89"/>
        <v>0</v>
      </c>
      <c r="BB155" s="42">
        <f t="shared" si="86"/>
        <v>0</v>
      </c>
      <c r="BE155" s="24" t="s">
        <v>78</v>
      </c>
      <c r="BH155" s="51">
        <v>6.85</v>
      </c>
      <c r="BI155" s="30"/>
    </row>
    <row r="156" spans="2:61" ht="15" thickBot="1">
      <c r="B156" t="s">
        <v>157</v>
      </c>
      <c r="G156">
        <f>G55</f>
        <v>5</v>
      </c>
      <c r="H156" t="s">
        <v>158</v>
      </c>
      <c r="AU156">
        <v>8</v>
      </c>
      <c r="AV156" s="42">
        <f t="shared" si="87"/>
        <v>0</v>
      </c>
      <c r="AW156" s="42">
        <f t="shared" si="83"/>
        <v>0</v>
      </c>
      <c r="AX156" s="42">
        <f t="shared" si="88"/>
        <v>0</v>
      </c>
      <c r="AY156" s="42">
        <f t="shared" si="84"/>
        <v>0</v>
      </c>
      <c r="AZ156" s="42">
        <f t="shared" si="85"/>
        <v>0</v>
      </c>
      <c r="BA156" s="42">
        <f t="shared" si="89"/>
        <v>0</v>
      </c>
      <c r="BB156" s="42">
        <f t="shared" si="86"/>
        <v>0</v>
      </c>
      <c r="BE156" s="24" t="s">
        <v>81</v>
      </c>
      <c r="BH156" s="51">
        <v>28</v>
      </c>
      <c r="BI156" s="30"/>
    </row>
    <row r="157" spans="2:64" ht="15" thickBot="1">
      <c r="B157" t="s">
        <v>160</v>
      </c>
      <c r="G157">
        <f>G57</f>
        <v>40000</v>
      </c>
      <c r="H157" t="s">
        <v>161</v>
      </c>
      <c r="AU157">
        <v>9</v>
      </c>
      <c r="AV157" s="42">
        <f t="shared" si="87"/>
        <v>0</v>
      </c>
      <c r="AW157" s="42">
        <f t="shared" si="83"/>
        <v>0</v>
      </c>
      <c r="AX157" s="42">
        <f t="shared" si="88"/>
        <v>0</v>
      </c>
      <c r="AY157" s="42">
        <f t="shared" si="84"/>
        <v>0</v>
      </c>
      <c r="AZ157" s="42">
        <f t="shared" si="85"/>
        <v>0</v>
      </c>
      <c r="BA157" s="42">
        <f t="shared" si="89"/>
        <v>0</v>
      </c>
      <c r="BB157" s="42">
        <f t="shared" si="86"/>
        <v>0</v>
      </c>
      <c r="BE157" s="24" t="s">
        <v>83</v>
      </c>
      <c r="BH157" s="51">
        <v>2.9</v>
      </c>
      <c r="BI157" s="30"/>
      <c r="BJ157" t="s">
        <v>84</v>
      </c>
      <c r="BL157" s="19">
        <f>TRUNC((+BH155/100+(1-BH155/100)*(BH156/100+BH157/100)+0.005)*100)</f>
        <v>36</v>
      </c>
    </row>
    <row r="158" spans="2:64" ht="15">
      <c r="B158" t="s">
        <v>163</v>
      </c>
      <c r="D158">
        <f>E61</f>
        <v>5</v>
      </c>
      <c r="E158" t="s">
        <v>164</v>
      </c>
      <c r="G158">
        <f>E62</f>
        <v>9</v>
      </c>
      <c r="H158" t="s">
        <v>165</v>
      </c>
      <c r="AU158">
        <v>10</v>
      </c>
      <c r="AV158" s="42">
        <f t="shared" si="87"/>
        <v>0</v>
      </c>
      <c r="AW158" s="42">
        <f t="shared" si="83"/>
        <v>0</v>
      </c>
      <c r="AX158" s="42">
        <f t="shared" si="88"/>
        <v>0</v>
      </c>
      <c r="AY158" s="42">
        <f t="shared" si="84"/>
        <v>0</v>
      </c>
      <c r="AZ158" s="42">
        <f t="shared" si="85"/>
        <v>0</v>
      </c>
      <c r="BA158" s="42">
        <f t="shared" si="89"/>
        <v>0</v>
      </c>
      <c r="BB158" s="42">
        <f t="shared" si="86"/>
        <v>0</v>
      </c>
      <c r="BE158" s="24"/>
      <c r="BH158" s="30"/>
      <c r="BI158" s="30"/>
      <c r="BL158" s="19"/>
    </row>
    <row r="159" spans="2:64" ht="15">
      <c r="B159" t="s">
        <v>167</v>
      </c>
      <c r="E159">
        <f>E46</f>
        <v>120000</v>
      </c>
      <c r="F159" t="s">
        <v>168</v>
      </c>
      <c r="V159" t="s">
        <v>6</v>
      </c>
      <c r="AU159">
        <v>11</v>
      </c>
      <c r="AV159" s="42">
        <f t="shared" si="87"/>
        <v>0</v>
      </c>
      <c r="AW159" s="42">
        <f t="shared" si="83"/>
        <v>0</v>
      </c>
      <c r="AX159" s="42">
        <f t="shared" si="88"/>
        <v>0</v>
      </c>
      <c r="AY159" s="42">
        <f t="shared" si="84"/>
        <v>0</v>
      </c>
      <c r="AZ159" s="42">
        <f t="shared" si="85"/>
        <v>0</v>
      </c>
      <c r="BA159" s="42">
        <f t="shared" si="89"/>
        <v>0</v>
      </c>
      <c r="BB159" s="42">
        <f t="shared" si="86"/>
        <v>0</v>
      </c>
      <c r="BE159" s="24" t="s">
        <v>89</v>
      </c>
      <c r="BH159" s="30"/>
      <c r="BI159" s="30"/>
      <c r="BL159" s="19"/>
    </row>
    <row r="160" spans="2:64" ht="15" thickBot="1">
      <c r="B160" t="s">
        <v>170</v>
      </c>
      <c r="C160">
        <f>D74</f>
        <v>5</v>
      </c>
      <c r="D160" t="s">
        <v>171</v>
      </c>
      <c r="F160">
        <f>D76</f>
        <v>0</v>
      </c>
      <c r="G160" t="s">
        <v>172</v>
      </c>
      <c r="R160" t="s">
        <v>66</v>
      </c>
      <c r="S160">
        <v>1</v>
      </c>
      <c r="T160">
        <v>2</v>
      </c>
      <c r="U160">
        <v>3</v>
      </c>
      <c r="V160">
        <v>4</v>
      </c>
      <c r="W160">
        <v>5</v>
      </c>
      <c r="X160">
        <v>6</v>
      </c>
      <c r="Y160">
        <v>7</v>
      </c>
      <c r="Z160">
        <v>8</v>
      </c>
      <c r="AA160">
        <v>9</v>
      </c>
      <c r="AB160">
        <v>10</v>
      </c>
      <c r="AC160">
        <v>11</v>
      </c>
      <c r="AD160">
        <v>12</v>
      </c>
      <c r="AE160">
        <v>13</v>
      </c>
      <c r="AF160">
        <v>14</v>
      </c>
      <c r="AG160">
        <v>15</v>
      </c>
      <c r="AH160">
        <v>16</v>
      </c>
      <c r="AU160">
        <v>12</v>
      </c>
      <c r="AV160" s="42">
        <f t="shared" si="87"/>
        <v>0</v>
      </c>
      <c r="AW160" s="42">
        <f t="shared" si="83"/>
        <v>0</v>
      </c>
      <c r="AX160" s="42">
        <f t="shared" si="88"/>
        <v>0</v>
      </c>
      <c r="AY160" s="42">
        <f t="shared" si="84"/>
        <v>0</v>
      </c>
      <c r="AZ160" s="42">
        <f t="shared" si="85"/>
        <v>0</v>
      </c>
      <c r="BA160" s="42">
        <f t="shared" si="89"/>
        <v>0</v>
      </c>
      <c r="BB160" s="42">
        <f t="shared" si="86"/>
        <v>0</v>
      </c>
      <c r="BE160" s="24" t="s">
        <v>92</v>
      </c>
      <c r="BH160" s="51">
        <v>10</v>
      </c>
      <c r="BI160" s="30"/>
      <c r="BJ160" t="s">
        <v>93</v>
      </c>
      <c r="BL160" s="19">
        <f>TRUNC((+BH160*(1-BL157/100))+0.005)</f>
        <v>6</v>
      </c>
    </row>
    <row r="161" spans="2:54" ht="15">
      <c r="B161" t="s">
        <v>174</v>
      </c>
      <c r="E161">
        <f>G56</f>
        <v>10</v>
      </c>
      <c r="F161" t="s">
        <v>175</v>
      </c>
      <c r="AU161">
        <v>13</v>
      </c>
      <c r="AV161" s="42">
        <f t="shared" si="87"/>
        <v>0</v>
      </c>
      <c r="AW161" s="42">
        <f t="shared" si="83"/>
        <v>0</v>
      </c>
      <c r="AX161" s="42">
        <f t="shared" si="88"/>
        <v>0</v>
      </c>
      <c r="AY161" s="42">
        <f t="shared" si="84"/>
        <v>0</v>
      </c>
      <c r="AZ161" s="42">
        <f t="shared" si="85"/>
        <v>0</v>
      </c>
      <c r="BA161" s="42">
        <f t="shared" si="89"/>
        <v>0</v>
      </c>
      <c r="BB161" s="42">
        <f t="shared" si="86"/>
        <v>0</v>
      </c>
    </row>
    <row r="162" spans="47:54" ht="15">
      <c r="AU162">
        <v>14</v>
      </c>
      <c r="AV162" s="42">
        <f t="shared" si="87"/>
        <v>0</v>
      </c>
      <c r="AW162" s="42">
        <f t="shared" si="83"/>
        <v>0</v>
      </c>
      <c r="AX162" s="42">
        <f t="shared" si="88"/>
        <v>0</v>
      </c>
      <c r="AY162" s="42">
        <f t="shared" si="84"/>
        <v>0</v>
      </c>
      <c r="AZ162" s="42">
        <f t="shared" si="85"/>
        <v>0</v>
      </c>
      <c r="BA162" s="42">
        <f t="shared" si="89"/>
        <v>0</v>
      </c>
      <c r="BB162" s="42">
        <f t="shared" si="86"/>
        <v>0</v>
      </c>
    </row>
    <row r="163" spans="2:54" ht="15">
      <c r="B163" t="s">
        <v>275</v>
      </c>
      <c r="E163">
        <f>F108</f>
        <v>24000</v>
      </c>
      <c r="F163" t="s">
        <v>276</v>
      </c>
      <c r="AU163">
        <v>15</v>
      </c>
      <c r="AV163" s="42">
        <f t="shared" si="87"/>
        <v>0</v>
      </c>
      <c r="AW163" s="42">
        <f t="shared" si="83"/>
        <v>0</v>
      </c>
      <c r="AX163" s="42">
        <f t="shared" si="88"/>
        <v>0</v>
      </c>
      <c r="AY163" s="42">
        <f t="shared" si="84"/>
        <v>0</v>
      </c>
      <c r="AZ163" s="42">
        <f t="shared" si="85"/>
        <v>0</v>
      </c>
      <c r="BA163" s="42">
        <f t="shared" si="89"/>
        <v>0</v>
      </c>
      <c r="BB163" s="42">
        <f t="shared" si="86"/>
        <v>0</v>
      </c>
    </row>
    <row r="164" ht="15">
      <c r="B164" t="s">
        <v>277</v>
      </c>
    </row>
    <row r="165" spans="2:18" ht="15">
      <c r="B165" t="s">
        <v>278</v>
      </c>
      <c r="D165">
        <f>H109</f>
        <v>7</v>
      </c>
      <c r="E165" s="23" t="s">
        <v>279</v>
      </c>
      <c r="R165" t="s">
        <v>281</v>
      </c>
    </row>
    <row r="166" spans="18:54" ht="15">
      <c r="R166">
        <f>IF(H109=3,1,0)</f>
        <v>0</v>
      </c>
      <c r="AZ166" s="40">
        <f>SUM(AZ149:AZ163)</f>
        <v>1.1936040232664438</v>
      </c>
      <c r="BA166" s="40">
        <f>SUM(BA149:BA163)</f>
        <v>1</v>
      </c>
      <c r="BB166" s="40">
        <f>SUM(BB149:BB163)</f>
        <v>0.8158843365264798</v>
      </c>
    </row>
    <row r="167" ht="15">
      <c r="R167">
        <f>IF(H109=5,1,0)</f>
        <v>0</v>
      </c>
    </row>
    <row r="168" spans="1:18" ht="15">
      <c r="A168" s="3" t="s">
        <v>178</v>
      </c>
      <c r="C168" t="s">
        <v>179</v>
      </c>
      <c r="G168" s="17">
        <f>O132</f>
        <v>70406</v>
      </c>
      <c r="R168">
        <f>IF(H109=7,1,0)</f>
        <v>1</v>
      </c>
    </row>
    <row r="169" spans="3:18" ht="15">
      <c r="C169" t="s">
        <v>181</v>
      </c>
      <c r="G169" s="17">
        <f>O104</f>
        <v>69695</v>
      </c>
      <c r="R169">
        <f>IF(H109=10,1,0)</f>
        <v>0</v>
      </c>
    </row>
    <row r="170" spans="3:47" ht="15">
      <c r="C170" s="23" t="s">
        <v>270</v>
      </c>
      <c r="R170">
        <f>IF(H109=15,1,0)</f>
        <v>0</v>
      </c>
      <c r="AU170" t="s">
        <v>265</v>
      </c>
    </row>
    <row r="171" spans="3:50" ht="15">
      <c r="C171" s="23" t="s">
        <v>269</v>
      </c>
      <c r="G171" s="43">
        <f>V155</f>
        <v>3663.8099999999995</v>
      </c>
      <c r="R171">
        <f>IF(H109=20,1,0)</f>
        <v>0</v>
      </c>
      <c r="AX171" t="s">
        <v>6</v>
      </c>
    </row>
    <row r="172" spans="3:61" ht="15">
      <c r="C172" t="s">
        <v>183</v>
      </c>
      <c r="G172" s="17">
        <f>G168-G169+G171</f>
        <v>4374.8099999999995</v>
      </c>
      <c r="R172">
        <f>SUM(R166:R171)</f>
        <v>1</v>
      </c>
      <c r="AU172">
        <v>1</v>
      </c>
      <c r="AV172">
        <v>2</v>
      </c>
      <c r="AW172">
        <v>3</v>
      </c>
      <c r="AX172">
        <v>4</v>
      </c>
      <c r="AY172">
        <v>5</v>
      </c>
      <c r="AZ172">
        <v>6</v>
      </c>
      <c r="BA172">
        <v>7</v>
      </c>
      <c r="BB172">
        <v>8</v>
      </c>
      <c r="BC172">
        <v>9</v>
      </c>
      <c r="BD172">
        <v>10</v>
      </c>
      <c r="BE172">
        <v>11</v>
      </c>
      <c r="BF172">
        <v>12</v>
      </c>
      <c r="BG172">
        <v>13</v>
      </c>
      <c r="BH172">
        <v>14</v>
      </c>
      <c r="BI172">
        <v>15</v>
      </c>
    </row>
    <row r="173" spans="43:61" ht="15">
      <c r="AQ173" t="s">
        <v>266</v>
      </c>
      <c r="AU173" s="42">
        <f>AZ149</f>
        <v>0.23199361835314108</v>
      </c>
      <c r="AV173" s="42">
        <f>AZ150</f>
        <v>0.2365496731500907</v>
      </c>
      <c r="AW173" s="42">
        <f>AZ151</f>
        <v>0.24006813334599558</v>
      </c>
      <c r="AX173" s="42">
        <f>AZ152</f>
        <v>0.24249629920860843</v>
      </c>
      <c r="AY173" s="42">
        <f>AZ153</f>
        <v>0.24249629920860793</v>
      </c>
      <c r="AZ173" s="42">
        <f>AZ154</f>
        <v>0</v>
      </c>
      <c r="BA173" s="42">
        <f>AZ155</f>
        <v>0</v>
      </c>
      <c r="BB173" s="42">
        <f>AZ156</f>
        <v>0</v>
      </c>
      <c r="BC173" s="42">
        <f>AZ157</f>
        <v>0</v>
      </c>
      <c r="BD173" s="42">
        <f>AZ158</f>
        <v>0</v>
      </c>
      <c r="BE173" s="42">
        <f>AZ159</f>
        <v>0</v>
      </c>
      <c r="BF173" s="42">
        <f>AZ160</f>
        <v>0</v>
      </c>
      <c r="BG173" s="42">
        <f>AZ161</f>
        <v>0</v>
      </c>
      <c r="BH173" s="42">
        <f>AZ162</f>
        <v>0</v>
      </c>
      <c r="BI173" s="42">
        <f>AZ163</f>
        <v>0</v>
      </c>
    </row>
    <row r="174" spans="1:61" ht="15">
      <c r="A174" t="str">
        <f>IF(G172&lt;0,+B236,+B234)</f>
        <v>The lease is less costly than purchase with financing.</v>
      </c>
      <c r="AQ174" t="s">
        <v>267</v>
      </c>
      <c r="AU174" s="42">
        <f>BB149</f>
        <v>0.23789641930786276</v>
      </c>
      <c r="AV174" s="42">
        <f>BB150</f>
        <v>0.21885525387572546</v>
      </c>
      <c r="AW174" s="42">
        <f>BB151</f>
        <v>0.18322817479605666</v>
      </c>
      <c r="AX174" s="42">
        <f>BB152</f>
        <v>0.1288138779740523</v>
      </c>
      <c r="AY174" s="42">
        <f>BB153</f>
        <v>0.04709061057278268</v>
      </c>
      <c r="AZ174" s="42">
        <f>BB154</f>
        <v>0</v>
      </c>
      <c r="BA174" s="42">
        <f>BB155</f>
        <v>0</v>
      </c>
      <c r="BB174" s="42">
        <f>BB156</f>
        <v>0</v>
      </c>
      <c r="BC174" s="42">
        <f>BB157</f>
        <v>0</v>
      </c>
      <c r="BD174" s="42">
        <f>BB158</f>
        <v>0</v>
      </c>
      <c r="BE174" s="42">
        <f>BB159</f>
        <v>0</v>
      </c>
      <c r="BF174" s="42">
        <f>BB160</f>
        <v>0</v>
      </c>
      <c r="BG174" s="42">
        <f>BB161</f>
        <v>0</v>
      </c>
      <c r="BH174" s="42">
        <f>BB162</f>
        <v>0</v>
      </c>
      <c r="BI174" s="42">
        <f>BB163</f>
        <v>0</v>
      </c>
    </row>
    <row r="175" spans="43:61" ht="15">
      <c r="AQ175" t="s">
        <v>268</v>
      </c>
      <c r="AU175" s="42">
        <f>AY149</f>
        <v>0.823196832755346</v>
      </c>
      <c r="AV175" s="42">
        <f>AY150</f>
        <v>0.6384172983767383</v>
      </c>
      <c r="AW175" s="42">
        <f>AY151</f>
        <v>0.44233641093042586</v>
      </c>
      <c r="AX175" s="42">
        <f>AY152</f>
        <v>0.2310770004172344</v>
      </c>
      <c r="AY175" s="42">
        <f>AY153</f>
        <v>0</v>
      </c>
      <c r="AZ175" s="42">
        <f>AY154</f>
        <v>0</v>
      </c>
      <c r="BA175" s="42">
        <f>AY155</f>
        <v>0</v>
      </c>
      <c r="BB175" s="42">
        <f>AY156</f>
        <v>0</v>
      </c>
      <c r="BC175" s="42">
        <f>AY157</f>
        <v>0</v>
      </c>
      <c r="BD175" s="42">
        <f>AY158</f>
        <v>0</v>
      </c>
      <c r="BE175" s="42">
        <f>AY159</f>
        <v>0</v>
      </c>
      <c r="BF175" s="42">
        <f>AY160</f>
        <v>0</v>
      </c>
      <c r="BG175" s="42">
        <f>AY161</f>
        <v>0</v>
      </c>
      <c r="BH175" s="42">
        <f>AY162</f>
        <v>0</v>
      </c>
      <c r="BI175" s="42">
        <f>AY163</f>
        <v>0</v>
      </c>
    </row>
    <row r="184" ht="15">
      <c r="D184" s="3" t="s">
        <v>192</v>
      </c>
    </row>
    <row r="186" spans="1:7" ht="15">
      <c r="A186" s="23" t="s">
        <v>43</v>
      </c>
      <c r="C186" t="str">
        <f>G21</f>
        <v>Les White</v>
      </c>
      <c r="E186" s="23" t="s">
        <v>193</v>
      </c>
      <c r="G186" t="str">
        <f>G20</f>
        <v>Chopper</v>
      </c>
    </row>
    <row r="188" spans="2:8" ht="15">
      <c r="B188" t="s">
        <v>157</v>
      </c>
      <c r="G188">
        <f>G70</f>
        <v>5</v>
      </c>
      <c r="H188" t="s">
        <v>158</v>
      </c>
    </row>
    <row r="189" spans="2:6" ht="15">
      <c r="B189" t="s">
        <v>167</v>
      </c>
      <c r="E189">
        <f>E46</f>
        <v>120000</v>
      </c>
      <c r="F189" t="s">
        <v>168</v>
      </c>
    </row>
    <row r="190" spans="2:7" ht="15">
      <c r="B190" t="s">
        <v>170</v>
      </c>
      <c r="C190">
        <f>BK151</f>
        <v>5</v>
      </c>
      <c r="D190" t="s">
        <v>171</v>
      </c>
      <c r="F190">
        <f>BK152</f>
        <v>6</v>
      </c>
      <c r="G190" t="s">
        <v>194</v>
      </c>
    </row>
    <row r="191" spans="2:6" ht="15">
      <c r="B191" t="s">
        <v>195</v>
      </c>
      <c r="E191">
        <f>G70</f>
        <v>5</v>
      </c>
      <c r="F191" t="s">
        <v>196</v>
      </c>
    </row>
    <row r="192" spans="2:5" ht="15">
      <c r="B192" t="s">
        <v>197</v>
      </c>
      <c r="D192">
        <f>G71</f>
        <v>40000</v>
      </c>
      <c r="E192" t="s">
        <v>198</v>
      </c>
    </row>
    <row r="194" spans="2:6" ht="15">
      <c r="B194" t="s">
        <v>275</v>
      </c>
      <c r="E194">
        <f>F108</f>
        <v>24000</v>
      </c>
      <c r="F194" t="s">
        <v>276</v>
      </c>
    </row>
    <row r="195" ht="15">
      <c r="B195" t="s">
        <v>277</v>
      </c>
    </row>
    <row r="196" spans="2:5" ht="15">
      <c r="B196" t="s">
        <v>278</v>
      </c>
      <c r="D196">
        <f>H109</f>
        <v>7</v>
      </c>
      <c r="E196" s="23" t="s">
        <v>279</v>
      </c>
    </row>
    <row r="199" spans="1:7" ht="15">
      <c r="A199" s="3" t="s">
        <v>178</v>
      </c>
      <c r="C199" t="s">
        <v>179</v>
      </c>
      <c r="G199" s="17">
        <f>O57</f>
        <v>55021</v>
      </c>
    </row>
    <row r="200" spans="3:7" ht="15">
      <c r="C200" t="s">
        <v>181</v>
      </c>
      <c r="G200" s="17">
        <f>O28</f>
        <v>55234.8</v>
      </c>
    </row>
    <row r="201" ht="15">
      <c r="C201" s="23" t="s">
        <v>270</v>
      </c>
    </row>
    <row r="202" spans="3:7" ht="15">
      <c r="C202" s="23" t="s">
        <v>269</v>
      </c>
      <c r="G202" s="43">
        <f>V155</f>
        <v>3663.8099999999995</v>
      </c>
    </row>
    <row r="203" spans="3:7" ht="15">
      <c r="C203" t="s">
        <v>183</v>
      </c>
      <c r="G203" s="17">
        <f>G199-G200+G202</f>
        <v>3450.0099999999966</v>
      </c>
    </row>
    <row r="205" ht="15">
      <c r="A205" t="str">
        <f>IF(G203&lt;0,B236,B234)</f>
        <v>The lease is less costly than purchase with financing.</v>
      </c>
    </row>
    <row r="234" ht="15">
      <c r="B234" s="23" t="s">
        <v>199</v>
      </c>
    </row>
    <row r="236" ht="15">
      <c r="B236" s="23" t="s">
        <v>200</v>
      </c>
    </row>
  </sheetData>
  <printOptions/>
  <pageMargins left="1" right="0.5" top="0.5" bottom="0.5" header="0.5" footer="0.5"/>
  <pageSetup fitToHeight="1" fitToWidth="1" horizontalDpi="180" verticalDpi="180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C17" sqref="C17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8125" defaultRowHeight="4.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8125" defaultRowHeight="4.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8125" defaultRowHeight="4.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8125" defaultRowHeight="4.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8125" defaultRowHeight="4.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8125" defaultRowHeight="4.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8125" defaultRowHeight="4.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LEAP</dc:title>
  <dc:subject>Economic Analysis of Capital Leases</dc:subject>
  <dc:creator>Prof. Eddy LaDuue</dc:creator>
  <cp:keywords/>
  <dc:description>A conversion from Lotus 123 to Excell.</dc:description>
  <cp:lastModifiedBy>Carol Fisher</cp:lastModifiedBy>
  <cp:lastPrinted>2002-07-29T18:18:57Z</cp:lastPrinted>
  <dcterms:created xsi:type="dcterms:W3CDTF">1999-01-26T15:02:39Z</dcterms:created>
  <dcterms:modified xsi:type="dcterms:W3CDTF">2002-07-30T19:09:19Z</dcterms:modified>
  <cp:category/>
  <cp:version/>
  <cp:contentType/>
  <cp:contentStatus/>
</cp:coreProperties>
</file>