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ms1\Documents\LocalFoods\Regional Access\Pguide new\"/>
    </mc:Choice>
  </mc:AlternateContent>
  <bookViews>
    <workbookView xWindow="0" yWindow="0" windowWidth="18870" windowHeight="6750"/>
  </bookViews>
  <sheets>
    <sheet name="Study Area Data" sheetId="1" r:id="rId1"/>
    <sheet name="FH Sales" sheetId="2" r:id="rId2"/>
    <sheet name="FHFarm Sales" sheetId="3" r:id="rId3"/>
    <sheet name="GAC edits" sheetId="4" r:id="rId4"/>
    <sheet name="Commodity Balances" sheetId="5" r:id="rId5"/>
    <sheet name="Commodity Balances T" sheetId="6" r:id="rId6"/>
    <sheet name="Institution Demand" sheetId="7" r:id="rId7"/>
    <sheet name="Impact Summary" sheetId="10" r:id="rId8"/>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0" l="1"/>
  <c r="D27" i="10"/>
  <c r="C27" i="10"/>
  <c r="B27" i="10"/>
  <c r="C25" i="10"/>
  <c r="D25" i="10"/>
  <c r="E25" i="10"/>
  <c r="B25" i="10"/>
  <c r="C22" i="10"/>
  <c r="D22" i="10"/>
  <c r="E22" i="10"/>
  <c r="B22" i="10"/>
  <c r="C9" i="10"/>
  <c r="D9" i="10"/>
  <c r="E9" i="10"/>
  <c r="B9" i="10"/>
  <c r="C7" i="10"/>
  <c r="D7" i="10"/>
  <c r="E7" i="10"/>
  <c r="E4" i="10"/>
  <c r="D4" i="10"/>
  <c r="C4" i="10"/>
  <c r="B7" i="10"/>
  <c r="B4" i="10"/>
  <c r="B16" i="10"/>
  <c r="B15" i="10"/>
  <c r="B14" i="10"/>
  <c r="I21" i="7" l="1"/>
  <c r="I20" i="7"/>
  <c r="I17" i="7"/>
  <c r="I16" i="7"/>
  <c r="I14" i="7"/>
  <c r="I13" i="7"/>
  <c r="I12" i="7"/>
  <c r="K6" i="7"/>
  <c r="K7" i="7"/>
  <c r="K8" i="7"/>
  <c r="K9" i="7"/>
  <c r="K10" i="7"/>
  <c r="K11" i="7"/>
  <c r="K12" i="7"/>
  <c r="K13" i="7"/>
  <c r="K14" i="7"/>
  <c r="K15" i="7"/>
  <c r="K16" i="7"/>
  <c r="K17" i="7"/>
  <c r="K18" i="7"/>
  <c r="K19" i="7"/>
  <c r="K20" i="7"/>
  <c r="K21" i="7"/>
  <c r="K5" i="7"/>
  <c r="J6" i="7"/>
  <c r="J7" i="7"/>
  <c r="J8" i="7"/>
  <c r="J9" i="7"/>
  <c r="J10" i="7"/>
  <c r="J11" i="7"/>
  <c r="J12" i="7"/>
  <c r="J13" i="7"/>
  <c r="J14" i="7"/>
  <c r="J15" i="7"/>
  <c r="J16" i="7"/>
  <c r="J17" i="7"/>
  <c r="J18" i="7"/>
  <c r="J19" i="7"/>
  <c r="J20" i="7"/>
  <c r="J21" i="7"/>
  <c r="J5" i="7"/>
  <c r="I6" i="7"/>
  <c r="I27" i="7"/>
  <c r="I39" i="7"/>
  <c r="I37" i="7"/>
  <c r="I36" i="7"/>
  <c r="I33" i="7"/>
  <c r="I32" i="7"/>
  <c r="I30" i="7"/>
  <c r="I24" i="7"/>
  <c r="I23" i="7"/>
  <c r="I5" i="7"/>
  <c r="N24" i="7"/>
  <c r="C40" i="7"/>
  <c r="C22" i="7"/>
  <c r="N25" i="7" l="1"/>
  <c r="H5" i="7"/>
  <c r="H6" i="7"/>
  <c r="H7" i="7"/>
  <c r="I7" i="7"/>
  <c r="H8" i="7"/>
  <c r="I8" i="7"/>
  <c r="H9" i="7"/>
  <c r="I9" i="7"/>
  <c r="H10" i="7"/>
  <c r="I10" i="7"/>
  <c r="H11" i="7"/>
  <c r="I11" i="7"/>
  <c r="H12" i="7"/>
  <c r="H13" i="7"/>
  <c r="H14" i="7"/>
  <c r="H15" i="7"/>
  <c r="I15" i="7"/>
  <c r="H16" i="7"/>
  <c r="H17" i="7"/>
  <c r="H18" i="7"/>
  <c r="I18" i="7"/>
  <c r="H19" i="7"/>
  <c r="I19" i="7"/>
  <c r="H20" i="7"/>
  <c r="H21" i="7"/>
  <c r="H23" i="7"/>
  <c r="H24" i="7"/>
  <c r="H25" i="7"/>
  <c r="H26" i="7"/>
  <c r="H27" i="7"/>
  <c r="H28" i="7"/>
  <c r="H29" i="7"/>
  <c r="H30" i="7"/>
  <c r="H31" i="7"/>
  <c r="H32" i="7"/>
  <c r="H33" i="7"/>
  <c r="H34" i="7"/>
  <c r="H35" i="7"/>
  <c r="H36" i="7"/>
  <c r="H37" i="7"/>
  <c r="H38" i="7"/>
  <c r="H39" i="7"/>
  <c r="G6" i="7"/>
  <c r="G7" i="7"/>
  <c r="G8" i="7"/>
  <c r="G9" i="7"/>
  <c r="G10" i="7"/>
  <c r="G11" i="7"/>
  <c r="G12" i="7"/>
  <c r="G13" i="7"/>
  <c r="G14" i="7"/>
  <c r="G15" i="7"/>
  <c r="G16" i="7"/>
  <c r="G17" i="7"/>
  <c r="G18" i="7"/>
  <c r="G19" i="7"/>
  <c r="G20" i="7"/>
  <c r="G21" i="7"/>
  <c r="G23" i="7"/>
  <c r="G24" i="7"/>
  <c r="G25" i="7"/>
  <c r="G26" i="7"/>
  <c r="G27" i="7"/>
  <c r="G28" i="7"/>
  <c r="G29" i="7"/>
  <c r="G30" i="7"/>
  <c r="G31" i="7"/>
  <c r="G32" i="7"/>
  <c r="G33" i="7"/>
  <c r="G34" i="7"/>
  <c r="G35" i="7"/>
  <c r="G36" i="7"/>
  <c r="G37" i="7"/>
  <c r="G38" i="7"/>
  <c r="G39" i="7"/>
  <c r="G5" i="7"/>
  <c r="I22" i="7" l="1"/>
  <c r="I22" i="5"/>
  <c r="I21" i="5"/>
  <c r="I19" i="5"/>
  <c r="I18" i="5"/>
  <c r="I14" i="5"/>
  <c r="I40" i="5" s="1"/>
  <c r="I13" i="5"/>
  <c r="J40" i="5"/>
  <c r="I41" i="5"/>
  <c r="I39" i="5"/>
  <c r="I37" i="5"/>
  <c r="I36" i="5"/>
  <c r="I35" i="5"/>
  <c r="I24" i="5"/>
  <c r="I26" i="5" s="1"/>
  <c r="I23" i="5"/>
  <c r="J36" i="5"/>
  <c r="J41" i="5"/>
  <c r="J39" i="5"/>
  <c r="J38" i="5"/>
  <c r="J37" i="5"/>
  <c r="J35" i="5"/>
  <c r="J34" i="5"/>
  <c r="J33" i="5"/>
  <c r="J32" i="5"/>
  <c r="J31" i="5"/>
  <c r="J30" i="5"/>
  <c r="J29" i="5"/>
  <c r="J28" i="5"/>
  <c r="J27" i="5"/>
  <c r="J26" i="5"/>
  <c r="J25" i="5"/>
  <c r="J24" i="5"/>
  <c r="J23" i="5"/>
  <c r="I40" i="7" l="1"/>
  <c r="I29" i="5"/>
  <c r="I32" i="5" s="1"/>
  <c r="I33" i="5" s="1"/>
  <c r="I42" i="5" s="1"/>
  <c r="I25" i="5"/>
  <c r="I28" i="5" s="1"/>
  <c r="I31" i="5" s="1"/>
  <c r="I30" i="5"/>
  <c r="I34" i="5"/>
  <c r="I38" i="5"/>
  <c r="J22" i="5"/>
  <c r="J21" i="5"/>
  <c r="J20" i="5"/>
  <c r="J19" i="5"/>
  <c r="J18" i="5"/>
  <c r="J17" i="5"/>
  <c r="J16" i="5"/>
  <c r="J13" i="5"/>
  <c r="J12" i="5"/>
  <c r="I27" i="5" l="1"/>
  <c r="J6" i="5" l="1"/>
  <c r="J5" i="5"/>
  <c r="I6" i="5"/>
  <c r="I7" i="5"/>
  <c r="I8" i="5"/>
  <c r="I9" i="5"/>
  <c r="I10" i="5"/>
  <c r="I11" i="5"/>
  <c r="I12" i="5"/>
  <c r="I15" i="5"/>
  <c r="I16" i="5"/>
  <c r="I17" i="5"/>
  <c r="I20" i="5"/>
  <c r="I5" i="5"/>
  <c r="J14" i="5"/>
  <c r="J8" i="5"/>
  <c r="J11" i="5" s="1"/>
  <c r="F4" i="4" l="1"/>
  <c r="J12" i="3" l="1"/>
  <c r="J11" i="3"/>
  <c r="J10" i="3"/>
  <c r="J9" i="3"/>
  <c r="J8" i="3"/>
  <c r="J7" i="3"/>
  <c r="J6" i="3"/>
  <c r="J5" i="3"/>
  <c r="J4" i="3"/>
  <c r="J3" i="3"/>
  <c r="E3" i="2"/>
  <c r="F11" i="4" l="1"/>
  <c r="H11" i="4" s="1"/>
  <c r="F8" i="4"/>
  <c r="H8" i="4"/>
  <c r="F7" i="4"/>
  <c r="H7" i="4" s="1"/>
  <c r="F6" i="4"/>
  <c r="F5" i="4"/>
  <c r="H5" i="4" s="1"/>
  <c r="K12" i="3"/>
  <c r="L8" i="3" s="1"/>
  <c r="M8" i="3" s="1"/>
  <c r="M11" i="3"/>
  <c r="M4" i="3"/>
  <c r="M3" i="3"/>
  <c r="L6" i="3"/>
  <c r="M6" i="3" s="1"/>
  <c r="L7" i="3"/>
  <c r="M7" i="3" s="1"/>
  <c r="L4" i="3"/>
  <c r="K10" i="3"/>
  <c r="K8" i="3"/>
  <c r="K7" i="3"/>
  <c r="K6" i="3"/>
  <c r="K5" i="3"/>
  <c r="K4" i="3"/>
  <c r="F8" i="3"/>
  <c r="F7" i="3"/>
  <c r="F6" i="3"/>
  <c r="F5" i="3"/>
  <c r="F4" i="3"/>
  <c r="E8" i="3"/>
  <c r="E11" i="4"/>
  <c r="E8" i="4"/>
  <c r="E7" i="4"/>
  <c r="H6" i="4"/>
  <c r="E6" i="4"/>
  <c r="E5" i="4"/>
  <c r="J11" i="2"/>
  <c r="J15" i="2"/>
  <c r="M8" i="2"/>
  <c r="L8" i="2"/>
  <c r="J8" i="2"/>
  <c r="I8" i="2"/>
  <c r="M4" i="2"/>
  <c r="J4" i="2"/>
  <c r="M3" i="2"/>
  <c r="L3" i="2"/>
  <c r="J3" i="2"/>
  <c r="I3" i="2"/>
  <c r="F8" i="2"/>
  <c r="E8" i="2"/>
  <c r="E10" i="2"/>
  <c r="F7" i="2"/>
  <c r="F6" i="2"/>
  <c r="F5" i="2"/>
  <c r="F4" i="2"/>
  <c r="E4" i="2"/>
  <c r="F3" i="2"/>
  <c r="F22" i="2"/>
  <c r="F20" i="2"/>
  <c r="E9" i="3"/>
  <c r="F9" i="3" s="1"/>
  <c r="E6" i="3"/>
  <c r="D12" i="3"/>
  <c r="C4" i="4" s="1"/>
  <c r="D17" i="2"/>
  <c r="E15" i="2" s="1"/>
  <c r="D10" i="2"/>
  <c r="E5" i="2"/>
  <c r="E4" i="3"/>
  <c r="E5" i="3"/>
  <c r="E7" i="3"/>
  <c r="E3" i="3"/>
  <c r="E7" i="2"/>
  <c r="E6" i="2"/>
  <c r="L10" i="3" l="1"/>
  <c r="M10" i="3" s="1"/>
  <c r="L5" i="3"/>
  <c r="G5" i="4"/>
  <c r="I5" i="4" s="1"/>
  <c r="H4" i="4"/>
  <c r="F3" i="3"/>
  <c r="G3" i="3" s="1"/>
  <c r="F11" i="3"/>
  <c r="G6" i="4"/>
  <c r="I6" i="4" s="1"/>
  <c r="G11" i="4"/>
  <c r="I11" i="4" s="1"/>
  <c r="G8" i="4"/>
  <c r="I8" i="4" s="1"/>
  <c r="G7" i="4"/>
  <c r="I7" i="4" s="1"/>
  <c r="E16" i="2"/>
  <c r="E17" i="2" s="1"/>
  <c r="M5" i="3" l="1"/>
  <c r="M12" i="3" s="1"/>
  <c r="L12" i="3"/>
  <c r="E12" i="3"/>
  <c r="F4" i="1"/>
  <c r="D8" i="1" l="1"/>
  <c r="D7" i="1"/>
  <c r="D6" i="1"/>
  <c r="D5" i="1"/>
  <c r="D4" i="1"/>
  <c r="D3" i="1"/>
  <c r="B9" i="1"/>
  <c r="C9" i="1"/>
  <c r="C10" i="1" s="1"/>
  <c r="D9" i="1" l="1"/>
  <c r="B10" i="1"/>
  <c r="D10" i="1" s="1"/>
  <c r="F9" i="2" l="1"/>
  <c r="F10" i="2" s="1"/>
  <c r="H6" i="2" l="1"/>
  <c r="I7" i="3" s="1"/>
  <c r="H10" i="2"/>
  <c r="H7" i="2"/>
  <c r="I10" i="3" s="1"/>
  <c r="H5" i="2"/>
  <c r="I6" i="3" s="1"/>
  <c r="H4" i="2"/>
  <c r="I5" i="3" s="1"/>
  <c r="H3" i="2"/>
  <c r="I4" i="3" s="1"/>
  <c r="H9" i="2"/>
  <c r="I11" i="3" s="1"/>
  <c r="H8" i="2"/>
  <c r="I8" i="3" s="1"/>
  <c r="G8" i="3" l="1"/>
  <c r="G6" i="3"/>
  <c r="G11" i="3"/>
  <c r="G10" i="3"/>
  <c r="G4" i="3"/>
  <c r="G5" i="3"/>
  <c r="G7" i="3"/>
  <c r="I12" i="3"/>
  <c r="G12" i="3" l="1"/>
  <c r="F12" i="3"/>
</calcChain>
</file>

<file path=xl/sharedStrings.xml><?xml version="1.0" encoding="utf-8"?>
<sst xmlns="http://schemas.openxmlformats.org/spreadsheetml/2006/main" count="379" uniqueCount="251">
  <si>
    <t>emp</t>
  </si>
  <si>
    <t>output</t>
  </si>
  <si>
    <t>ec</t>
  </si>
  <si>
    <t>pi</t>
  </si>
  <si>
    <t>opti</t>
  </si>
  <si>
    <t>topi</t>
  </si>
  <si>
    <t>tva</t>
  </si>
  <si>
    <t>int exp</t>
  </si>
  <si>
    <t>farm</t>
  </si>
  <si>
    <t>fhfarm</t>
  </si>
  <si>
    <t>ofarm</t>
  </si>
  <si>
    <t>Farm</t>
  </si>
  <si>
    <t>Customize study area data</t>
  </si>
  <si>
    <t>Other Farm</t>
  </si>
  <si>
    <t>Food Hub Farm</t>
  </si>
  <si>
    <t>Manufactured Food</t>
  </si>
  <si>
    <t>Wholesale trade</t>
  </si>
  <si>
    <t>Elementary and secondary schools</t>
  </si>
  <si>
    <t>Households 15-25k</t>
  </si>
  <si>
    <t>Households LT10k</t>
  </si>
  <si>
    <t>Federal Government Investment</t>
  </si>
  <si>
    <t>Federal Government Defense</t>
  </si>
  <si>
    <t>Inventory Additions/Deletions</t>
  </si>
  <si>
    <t>Capital</t>
  </si>
  <si>
    <t>State/Local Govt Education</t>
  </si>
  <si>
    <t>Households 75-100k</t>
  </si>
  <si>
    <t>Households 25-35k</t>
  </si>
  <si>
    <t>Households 10-15k</t>
  </si>
  <si>
    <t>State/Local Govt Investment</t>
  </si>
  <si>
    <t>Households 35-50k</t>
  </si>
  <si>
    <t>Households 50-75k</t>
  </si>
  <si>
    <t>Federal Government NonDefense</t>
  </si>
  <si>
    <t>State/Local Govt NonEducation</t>
  </si>
  <si>
    <t>Households 150k+</t>
  </si>
  <si>
    <t>Households 100-150k</t>
  </si>
  <si>
    <t>Total</t>
  </si>
  <si>
    <t>Food purchases by food hub</t>
  </si>
  <si>
    <t>Food hub farms</t>
  </si>
  <si>
    <t>Manufactured food</t>
  </si>
  <si>
    <t>total food purchases</t>
  </si>
  <si>
    <t>Retail Trade Food Margin for Farm Products</t>
  </si>
  <si>
    <t>Retail Trade Margin for Manufactured Food Products</t>
  </si>
  <si>
    <t>Wholesale Trade Margin for Farm Products</t>
  </si>
  <si>
    <t>Wholesale Trade Margin for Manufactured Food Products</t>
  </si>
  <si>
    <t>Amount</t>
  </si>
  <si>
    <t>Proportion</t>
  </si>
  <si>
    <t>Margined Sales</t>
  </si>
  <si>
    <t>FHF</t>
  </si>
  <si>
    <t>Food Hub Farms</t>
  </si>
  <si>
    <t>Mfood</t>
  </si>
  <si>
    <t>Full service restaurants</t>
  </si>
  <si>
    <t>Food Hub</t>
  </si>
  <si>
    <t xml:space="preserve">   Total</t>
  </si>
  <si>
    <t>Households</t>
  </si>
  <si>
    <t>Percent Local</t>
  </si>
  <si>
    <t>Industry/Institution</t>
  </si>
  <si>
    <t>Code</t>
  </si>
  <si>
    <t>Gross       Sales</t>
  </si>
  <si>
    <r>
      <rPr>
        <vertAlign val="superscript"/>
        <sz val="10"/>
        <color theme="1"/>
        <rFont val="Calibri"/>
        <family val="2"/>
        <scheme val="minor"/>
      </rPr>
      <t xml:space="preserve">1 </t>
    </r>
    <r>
      <rPr>
        <sz val="10"/>
        <color theme="1"/>
        <rFont val="Calibri"/>
        <family val="2"/>
        <scheme val="minor"/>
      </rPr>
      <t xml:space="preserve">To avoid double counting as goods move along the supply chain, sales to wholesale and retail sectors are margined to reflect only the value of the services provided by these sectors in delivering commodities from producers’ establishments to purchasers. The values of the commodities (in producer prices) are apportioned to one or more deliveries to final demand, depending on the location and allocation of final deliveries (e.g., to households, exports, etc.). </t>
    </r>
  </si>
  <si>
    <r>
      <t>Wholesale trade</t>
    </r>
    <r>
      <rPr>
        <vertAlign val="superscript"/>
        <sz val="11"/>
        <color theme="1"/>
        <rFont val="Calibri"/>
        <family val="2"/>
        <scheme val="minor"/>
      </rPr>
      <t>2</t>
    </r>
  </si>
  <si>
    <r>
      <rPr>
        <vertAlign val="superscript"/>
        <sz val="10"/>
        <color theme="1"/>
        <rFont val="Calibri"/>
        <family val="2"/>
        <scheme val="minor"/>
      </rPr>
      <t>2</t>
    </r>
    <r>
      <rPr>
        <sz val="10"/>
        <color theme="1"/>
        <rFont val="Calibri"/>
        <family val="2"/>
        <scheme val="minor"/>
      </rPr>
      <t xml:space="preserve"> Margins for farm and manufactured food products are, respectively, retail: 0.3027 and 0.2800; wholesale: 0.1152 and 0.0915 (2014 IMPLAN model year, New York State). Margins are weighted across farm and food products based on the relative purchase amounts from these sectors by the food hub; i.e., the food hub sells farm and processed food products to retailers and wholesalers in the same proportion as their purchase amounts.</t>
    </r>
  </si>
  <si>
    <t>Industry/Instituation</t>
  </si>
  <si>
    <t>Final Sales</t>
  </si>
  <si>
    <t>Final               Sales</t>
  </si>
  <si>
    <t>Export</t>
  </si>
  <si>
    <r>
      <t>Food Hub Farms</t>
    </r>
    <r>
      <rPr>
        <vertAlign val="superscript"/>
        <sz val="11"/>
        <color theme="1"/>
        <rFont val="Calibri"/>
        <family val="2"/>
        <scheme val="minor"/>
      </rPr>
      <t>2</t>
    </r>
  </si>
  <si>
    <r>
      <rPr>
        <vertAlign val="superscript"/>
        <sz val="10"/>
        <color theme="1"/>
        <rFont val="Calibri"/>
        <family val="2"/>
        <scheme val="minor"/>
      </rPr>
      <t>2</t>
    </r>
    <r>
      <rPr>
        <sz val="10"/>
        <color theme="1"/>
        <rFont val="Calibri"/>
        <family val="2"/>
        <scheme val="minor"/>
      </rPr>
      <t xml:space="preserve"> Assumes all sales to other farms are to other food hub farms.</t>
    </r>
  </si>
  <si>
    <r>
      <t>Retail trade - Food</t>
    </r>
    <r>
      <rPr>
        <vertAlign val="superscript"/>
        <sz val="11"/>
        <color theme="1"/>
        <rFont val="Calibri"/>
        <family val="2"/>
        <scheme val="minor"/>
      </rPr>
      <t>3</t>
    </r>
  </si>
  <si>
    <r>
      <t>Retail trade - Food</t>
    </r>
    <r>
      <rPr>
        <vertAlign val="superscript"/>
        <sz val="11"/>
        <color theme="1"/>
        <rFont val="Calibri"/>
        <family val="2"/>
        <scheme val="minor"/>
      </rPr>
      <t>2</t>
    </r>
  </si>
  <si>
    <r>
      <t>Wholesale trade</t>
    </r>
    <r>
      <rPr>
        <vertAlign val="superscript"/>
        <sz val="11"/>
        <color theme="1"/>
        <rFont val="Calibri"/>
        <family val="2"/>
        <scheme val="minor"/>
      </rPr>
      <t>3</t>
    </r>
  </si>
  <si>
    <r>
      <t>Food Hub</t>
    </r>
    <r>
      <rPr>
        <vertAlign val="superscript"/>
        <sz val="11"/>
        <color theme="1"/>
        <rFont val="Calibri"/>
        <family val="2"/>
        <scheme val="minor"/>
      </rPr>
      <t>4</t>
    </r>
  </si>
  <si>
    <t>proportion</t>
  </si>
  <si>
    <t>Hhld</t>
  </si>
  <si>
    <t>--</t>
  </si>
  <si>
    <t>Industry</t>
  </si>
  <si>
    <t>na</t>
  </si>
  <si>
    <t>Table X. Editing gross absoprtion coefficients (GACs) for industries purchasing food hub farm products.</t>
  </si>
  <si>
    <t>A</t>
  </si>
  <si>
    <t>B</t>
  </si>
  <si>
    <t>C = A x B</t>
  </si>
  <si>
    <t>D (Table 6 x 50)</t>
  </si>
  <si>
    <t>E = C - D</t>
  </si>
  <si>
    <t>Total Industry Output</t>
  </si>
  <si>
    <t>GAC Farm Commodity</t>
  </si>
  <si>
    <t>Purchases of Farm Commodity</t>
  </si>
  <si>
    <t>Purchases of Food hub farm commodity</t>
  </si>
  <si>
    <t>Purchases of Other farm commodity</t>
  </si>
  <si>
    <t>GAC Food hub farm commodity</t>
  </si>
  <si>
    <t>GAC Other farm commodity</t>
  </si>
  <si>
    <t>F = D / A</t>
  </si>
  <si>
    <t>G = E / A</t>
  </si>
  <si>
    <t>Retail trade - Food</t>
  </si>
  <si>
    <t>Elem/2ndary schools</t>
  </si>
  <si>
    <t>wtd avg margin</t>
  </si>
  <si>
    <t>retail</t>
  </si>
  <si>
    <t>whol</t>
  </si>
  <si>
    <t>r</t>
  </si>
  <si>
    <t>w</t>
  </si>
  <si>
    <t>rl</t>
  </si>
  <si>
    <t>wl</t>
  </si>
  <si>
    <r>
      <rPr>
        <vertAlign val="superscript"/>
        <sz val="10"/>
        <color theme="1"/>
        <rFont val="Calibri"/>
        <family val="2"/>
        <scheme val="minor"/>
      </rPr>
      <t>4</t>
    </r>
    <r>
      <rPr>
        <sz val="10"/>
        <color theme="1"/>
        <rFont val="Calibri"/>
        <family val="2"/>
        <scheme val="minor"/>
      </rPr>
      <t xml:space="preserve"> Since there is no food hub sector in our model, the sales to the food hub are distributed across industries in proportion to where the food hub sells its products (Table X). Do last</t>
    </r>
  </si>
  <si>
    <t>Final Sales, FH allocated</t>
  </si>
  <si>
    <r>
      <rPr>
        <vertAlign val="superscript"/>
        <sz val="10"/>
        <color theme="1"/>
        <rFont val="Calibri"/>
        <family val="2"/>
        <scheme val="minor"/>
      </rPr>
      <t>3</t>
    </r>
    <r>
      <rPr>
        <sz val="10"/>
        <color theme="1"/>
        <rFont val="Calibri"/>
        <family val="2"/>
        <scheme val="minor"/>
      </rPr>
      <t xml:space="preserve"> Retail and wholesale margins for farm products are 0.3027 and 0.1152, respectively (2014 IMPLAN model year, New York State).</t>
    </r>
  </si>
  <si>
    <r>
      <t>Table 3. Summary of food hub sales, inlcuding margining and export computations.</t>
    </r>
    <r>
      <rPr>
        <b/>
        <vertAlign val="superscript"/>
        <sz val="11"/>
        <color theme="1"/>
        <rFont val="Calibri"/>
        <family val="2"/>
        <scheme val="minor"/>
      </rPr>
      <t>1</t>
    </r>
  </si>
  <si>
    <r>
      <t>Table 6. Summary of average food hub farm sales, including margining and export computations</t>
    </r>
    <r>
      <rPr>
        <b/>
        <vertAlign val="superscript"/>
        <sz val="11"/>
        <color theme="1"/>
        <rFont val="Calibri"/>
        <family val="2"/>
        <scheme val="minor"/>
      </rPr>
      <t>1</t>
    </r>
  </si>
  <si>
    <t>margined + fh sales distd</t>
  </si>
  <si>
    <t>FH sales distn final</t>
  </si>
  <si>
    <t>Margined sales food hub table 3</t>
  </si>
  <si>
    <t xml:space="preserve">fh scaled </t>
  </si>
  <si>
    <t>use final sales</t>
  </si>
  <si>
    <t>note RPCs will be 1.0 in trade flows for industries purchasing FHF commodity</t>
  </si>
  <si>
    <t>All farms</t>
  </si>
  <si>
    <t>Tobacco</t>
  </si>
  <si>
    <t>IndustryCommodityProduction</t>
  </si>
  <si>
    <t>InstitutionalCommoditySales</t>
  </si>
  <si>
    <t>TotalCommoditySupply</t>
  </si>
  <si>
    <t>ForeignExports</t>
  </si>
  <si>
    <t>NetCommoditySupply</t>
  </si>
  <si>
    <t>IntermediateCommodityDemand</t>
  </si>
  <si>
    <t>InstitutionalCommodityDemand</t>
  </si>
  <si>
    <t>TotalGrossCommodityDemand</t>
  </si>
  <si>
    <t>ForeignImportProportion</t>
  </si>
  <si>
    <t>ForeignRPC</t>
  </si>
  <si>
    <t>ForeignIntermediateImports</t>
  </si>
  <si>
    <t>ForeignInstitutionImports</t>
  </si>
  <si>
    <t>ForeignImports</t>
  </si>
  <si>
    <t>DomesticIntermediateDemand</t>
  </si>
  <si>
    <t>DomesticInstitutionDemand</t>
  </si>
  <si>
    <t>TotalDomesticCommodityDemand</t>
  </si>
  <si>
    <t>LocalSupplyToDomesticDemands</t>
  </si>
  <si>
    <t>DomesticRPC</t>
  </si>
  <si>
    <t>LocalSupplyToDomesticIntermediate</t>
  </si>
  <si>
    <t>LocalSupplyToDomesticInstitutional</t>
  </si>
  <si>
    <t>TotalLocalSupply</t>
  </si>
  <si>
    <t>DomesticIntermediateImports</t>
  </si>
  <si>
    <t>DomesticInstitutionImports</t>
  </si>
  <si>
    <t>TotalDomesticImports</t>
  </si>
  <si>
    <t>IntermediateImports</t>
  </si>
  <si>
    <t>InstitutionalImports</t>
  </si>
  <si>
    <t>TotalImports</t>
  </si>
  <si>
    <t>AverageRPC</t>
  </si>
  <si>
    <t>TotalCommodityOutput</t>
  </si>
  <si>
    <t>AverageRSC</t>
  </si>
  <si>
    <t>DomesticExports</t>
  </si>
  <si>
    <t>DomesticSupply/DemandRatio</t>
  </si>
  <si>
    <t>TotalDomesticCommodityOutput</t>
  </si>
  <si>
    <t>Demand/SupplyRatio</t>
  </si>
  <si>
    <t>ForeignExportProportion</t>
  </si>
  <si>
    <t>ForeignImportToTotalImport</t>
  </si>
  <si>
    <t>CommodityCode</t>
  </si>
  <si>
    <t>ForeignTransshipments</t>
  </si>
  <si>
    <t>C=A+B</t>
  </si>
  <si>
    <t>D</t>
  </si>
  <si>
    <t>E</t>
  </si>
  <si>
    <t>F=C-D-E</t>
  </si>
  <si>
    <t>G</t>
  </si>
  <si>
    <t>H</t>
  </si>
  <si>
    <t>I=G+H</t>
  </si>
  <si>
    <t>J</t>
  </si>
  <si>
    <t>K=1-J</t>
  </si>
  <si>
    <t>L=GxJ</t>
  </si>
  <si>
    <t>M=HxJ</t>
  </si>
  <si>
    <t>N=L+M</t>
  </si>
  <si>
    <t>O=G-L</t>
  </si>
  <si>
    <t>P=H-M</t>
  </si>
  <si>
    <t>Q=O+P</t>
  </si>
  <si>
    <t>R</t>
  </si>
  <si>
    <t>S=R/Q</t>
  </si>
  <si>
    <t>T=SxO</t>
  </si>
  <si>
    <t>U=SxP</t>
  </si>
  <si>
    <t>V=T+U</t>
  </si>
  <si>
    <t>W=O-T</t>
  </si>
  <si>
    <t>X=P-U</t>
  </si>
  <si>
    <t>Y=W+X</t>
  </si>
  <si>
    <t>Z=W+L</t>
  </si>
  <si>
    <t>AA=X+M</t>
  </si>
  <si>
    <t>AB=Z+AA</t>
  </si>
  <si>
    <t>AC=R/I</t>
  </si>
  <si>
    <t>AD=C</t>
  </si>
  <si>
    <t>AE=R/C</t>
  </si>
  <si>
    <t>AF=F-R</t>
  </si>
  <si>
    <t>AG=F/I</t>
  </si>
  <si>
    <t>AH=R</t>
  </si>
  <si>
    <t>AI=I/F</t>
  </si>
  <si>
    <t>AJ=D/(D+AF)</t>
  </si>
  <si>
    <t>AK=N/AB</t>
  </si>
  <si>
    <t>Exported from Access</t>
  </si>
  <si>
    <t>Aggregated FHF Model</t>
  </si>
  <si>
    <t>Dollar values are in millions!</t>
  </si>
  <si>
    <t>Yellow cells denote changes</t>
  </si>
  <si>
    <t>Aggregated Model only</t>
  </si>
  <si>
    <t>FHFarm</t>
  </si>
  <si>
    <t>OFarm</t>
  </si>
  <si>
    <t>Exported from Access after Part 4, step 4.6</t>
  </si>
  <si>
    <t>Comments</t>
  </si>
  <si>
    <t>computed</t>
  </si>
  <si>
    <t>correct</t>
  </si>
  <si>
    <t>computed, all purchases of FHFarm commodity are supplied by local fhfarm</t>
  </si>
  <si>
    <t>computed, if above 1, equals 1</t>
  </si>
  <si>
    <t xml:space="preserve">Either this is estimated by IMPLAN or the  domestic RPC is. Note this is equal to TotalLocalSuppy below. For FHFarm, assume all local supply goes to domestic demand. Remove same amount from Other Farm so total local supply from both sectors is the same as it was for the original Farm sector. </t>
  </si>
  <si>
    <t>computed, set to zero for FHF since no imports (denominator)</t>
  </si>
  <si>
    <t>computed, if D&gt;S, then 1</t>
  </si>
  <si>
    <t>Edited and Saved in ACCESS</t>
  </si>
  <si>
    <t xml:space="preserve">The 2.7038 is for tobacco, not FHG. Zero out. Not sure how estimated by IMPLAN. These are tobacco sales by institutions. </t>
  </si>
  <si>
    <t>Foreign exports of each commoidity are estimated by IMPLAN based on a percentage of total commodity supply, allocated by region. The 1.2446 is for tobacco, not FHF, so zero it out; i.e., no foreign exports of FHF commoidty for our example.</t>
  </si>
  <si>
    <t>This is the amount of this commodity that is demanded by buyers from foreign sources. Estimated by IMPLAN. For our case, by definition, this should be zero for the FHF commodity.</t>
  </si>
  <si>
    <t>computed, since this depends on the level of insitutional demand, it should be adjusted for Ofarm as well</t>
  </si>
  <si>
    <t>The 0.2695 is still  tobacco. This is changed to the level of household demand for FHFarm commodities that we know. The same amount is removed Ofarm</t>
  </si>
  <si>
    <t>computed, some production of FHFarm commoidity is exported from our example, assumed as domestic exports.</t>
  </si>
  <si>
    <t>copy the whole row for each into REgionalCommodityBalances table for your model in ACCESS</t>
  </si>
  <si>
    <t>TypeCode</t>
  </si>
  <si>
    <t>GrossInstitutionDemand</t>
  </si>
  <si>
    <t>RPC</t>
  </si>
  <si>
    <t>FROM ACCESS</t>
  </si>
  <si>
    <t>EDITED AND SAVED IN ACCESS</t>
  </si>
  <si>
    <t>Index for Institutions</t>
  </si>
  <si>
    <t>note order of industries here. Demand levels are in Millioins of dollars</t>
  </si>
  <si>
    <t>Total HHLD Demand</t>
  </si>
  <si>
    <t>Per category</t>
  </si>
  <si>
    <t>Remove from 3001 for what add to 3007</t>
  </si>
  <si>
    <t>one-ninth of total local hhld demand, rpc of 1, foreign imports of 0</t>
  </si>
  <si>
    <t>no other instit D for 3007, set to 0</t>
  </si>
  <si>
    <t>no other instit D for 3007, set to zero. Orig incl tobacco, zero out</t>
  </si>
  <si>
    <t>$ Million</t>
  </si>
  <si>
    <t>hhld, subtract 3007 value from original 3001, rpc and FIP from CB tab</t>
  </si>
  <si>
    <t xml:space="preserve">Impact Summary </t>
  </si>
  <si>
    <t>PGUIDE NYS 2014 Aggregated Food Hub Farm.impdb</t>
  </si>
  <si>
    <t>Copyright 2017 Minnesota IMPLAN Group, Inc.</t>
  </si>
  <si>
    <t>Employment</t>
  </si>
  <si>
    <t>Output</t>
  </si>
  <si>
    <t>Direct Effect</t>
  </si>
  <si>
    <t>Indirect Effect</t>
  </si>
  <si>
    <t>Induced Effect</t>
  </si>
  <si>
    <t>Total Effect</t>
  </si>
  <si>
    <t>Labor Income</t>
  </si>
  <si>
    <t>Total Value Added</t>
  </si>
  <si>
    <t>Impact Type</t>
  </si>
  <si>
    <t>Add direct effects from your computations</t>
  </si>
  <si>
    <t>Increase in output</t>
  </si>
  <si>
    <t>Employment requirements</t>
  </si>
  <si>
    <t>Labor Income requirements</t>
  </si>
  <si>
    <t>TVA requirements</t>
  </si>
  <si>
    <t>per $1</t>
  </si>
  <si>
    <t>per $1,000</t>
  </si>
  <si>
    <t>Initial output</t>
  </si>
  <si>
    <t>update total after adding direct effect</t>
  </si>
  <si>
    <t>compute as total divided by direct</t>
  </si>
  <si>
    <t>Implied Multiplier</t>
  </si>
  <si>
    <t>Value Added</t>
  </si>
  <si>
    <t>With Opportunity costs (all four activities)</t>
  </si>
  <si>
    <t>Without Opportunity costs (the three positive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</si>
</sst>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43" formatCode="_(* #,##0.00_);_(* \(#,##0.00\);_(* &quot;-&quot;??_);_(@_)"/>
    <numFmt numFmtId="164" formatCode="0.000%"/>
    <numFmt numFmtId="166" formatCode="_(&quot;$&quot;* #,##0_);_(&quot;$&quot;* \(#,##0\);_(&quot;$&quot;* &quot;-&quot;??_);_(@_)"/>
    <numFmt numFmtId="167" formatCode="0.000"/>
    <numFmt numFmtId="168" formatCode="0.0000"/>
    <numFmt numFmtId="169" formatCode="0.000000"/>
    <numFmt numFmtId="170" formatCode="0.000000000"/>
    <numFmt numFmtId="171" formatCode="_(* #,##0.0000_);_(* \(#,##0.0000\);_(* &quot;-&quot;??_);_(@_)"/>
    <numFmt numFmtId="186" formatCode="_(* #,##0.00000000000_);_(* \(#,##0.00000000000\);_(* &quot;-&quot;??_);_(@_)"/>
    <numFmt numFmtId="188" formatCode="_(&quot;$&quot;* #,##0.0000_);_(&quot;$&quot;* \(#,##0.0000\);_(&quot;$&quot;* &quot;-&quot;??_);_(@_)"/>
    <numFmt numFmtId="190" formatCode="_(&quot;$&quot;* #,##0.000000_);_(&quot;$&quot;* \(#,##0.00000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vertAlign val="superscript"/>
      <sz val="11"/>
      <color theme="1"/>
      <name val="Calibri"/>
      <family val="2"/>
      <scheme val="minor"/>
    </font>
    <font>
      <vertAlign val="superscript"/>
      <sz val="10"/>
      <color theme="1"/>
      <name val="Calibri"/>
      <family val="2"/>
      <scheme val="minor"/>
    </font>
    <font>
      <vertAlign val="superscript"/>
      <sz val="11"/>
      <color theme="1"/>
      <name val="Calibri"/>
      <family val="2"/>
      <scheme val="minor"/>
    </font>
    <font>
      <b/>
      <strike/>
      <sz val="11"/>
      <color theme="1"/>
      <name val="Calibri"/>
      <family val="2"/>
      <scheme val="minor"/>
    </font>
    <font>
      <strike/>
      <sz val="11"/>
      <color theme="1"/>
      <name val="Calibri"/>
      <family val="2"/>
      <scheme val="minor"/>
    </font>
    <font>
      <b/>
      <sz val="11"/>
      <color rgb="FF000000"/>
      <name val="Calibri"/>
    </font>
    <font>
      <sz val="11"/>
      <color rgb="FF000000"/>
      <name val="Calibri"/>
    </font>
    <font>
      <b/>
      <sz val="11"/>
      <color rgb="FF000000"/>
      <name val="Calibri"/>
      <family val="2"/>
    </font>
    <font>
      <sz val="11"/>
      <color rgb="FF000000"/>
      <name val="Calibri"/>
      <family val="2"/>
    </font>
    <font>
      <sz val="11"/>
      <color indexed="8"/>
      <name val="Calibri"/>
      <family val="2"/>
    </font>
    <font>
      <sz val="10"/>
      <color indexed="8"/>
      <name val="Arial"/>
      <family val="2"/>
    </font>
    <font>
      <sz val="11"/>
      <color indexed="8"/>
      <name val="Calibri"/>
    </font>
    <font>
      <sz val="10"/>
      <color indexed="8"/>
      <name val="Arial"/>
    </font>
    <font>
      <b/>
      <sz val="10"/>
      <color indexed="8"/>
      <name val="Arial"/>
      <family val="2"/>
    </font>
  </fonts>
  <fills count="6">
    <fill>
      <patternFill patternType="none"/>
    </fill>
    <fill>
      <patternFill patternType="gray125"/>
    </fill>
    <fill>
      <patternFill patternType="solid">
        <fgColor rgb="FFFFFF00"/>
        <bgColor indexed="64"/>
      </patternFill>
    </fill>
    <fill>
      <patternFill patternType="solid">
        <fgColor theme="7" tint="0.59999389629810485"/>
        <bgColor indexed="65"/>
      </patternFill>
    </fill>
    <fill>
      <patternFill patternType="solid">
        <fgColor rgb="FFC0C0C0"/>
        <bgColor rgb="FFC0C0C0"/>
      </patternFill>
    </fill>
    <fill>
      <patternFill patternType="solid">
        <fgColor indexed="22"/>
        <bgColor indexed="0"/>
      </patternFill>
    </fill>
  </fills>
  <borders count="1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right/>
      <top style="thin">
        <color indexed="64"/>
      </top>
      <bottom style="thin">
        <color indexed="64"/>
      </bottom>
      <diagonal/>
    </border>
    <border>
      <left style="thin">
        <color rgb="FFD0D7E5"/>
      </left>
      <right style="thin">
        <color rgb="FFD0D7E5"/>
      </right>
      <top/>
      <bottom style="thin">
        <color rgb="FFD0D7E5"/>
      </bottom>
      <diagonal/>
    </border>
    <border>
      <left style="thin">
        <color rgb="FFD0D7E5"/>
      </left>
      <right/>
      <top/>
      <bottom/>
      <diagonal/>
    </border>
    <border>
      <left/>
      <right style="thin">
        <color rgb="FFD0D7E5"/>
      </right>
      <top/>
      <bottom style="thin">
        <color rgb="FFD0D7E5"/>
      </bottom>
      <diagonal/>
    </border>
    <border>
      <left/>
      <right style="thin">
        <color rgb="FFD0D7E5"/>
      </right>
      <top style="thin">
        <color rgb="FFD0D7E5"/>
      </top>
      <bottom style="thin">
        <color rgb="FFD0D7E5"/>
      </bottom>
      <diagonal/>
    </border>
    <border>
      <left style="thin">
        <color indexed="64"/>
      </left>
      <right style="thin">
        <color indexed="64"/>
      </right>
      <top/>
      <bottom style="thin">
        <color indexed="64"/>
      </bottom>
      <diagonal/>
    </border>
    <border>
      <left style="thin">
        <color rgb="FFD0D7E5"/>
      </left>
      <right style="thin">
        <color rgb="FFD0D7E5"/>
      </right>
      <top style="thin">
        <color rgb="FFD0D7E5"/>
      </top>
      <bottom style="thin">
        <color indexed="64"/>
      </bottom>
      <diagonal/>
    </border>
    <border>
      <left style="thin">
        <color rgb="FFD0D7E5"/>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3" borderId="0" applyNumberFormat="0" applyBorder="0" applyAlignment="0" applyProtection="0"/>
    <xf numFmtId="0" fontId="14" fillId="0" borderId="0"/>
    <xf numFmtId="0" fontId="16" fillId="0" borderId="0"/>
    <xf numFmtId="0" fontId="16" fillId="0" borderId="0"/>
  </cellStyleXfs>
  <cellXfs count="162">
    <xf numFmtId="0" fontId="0" fillId="0" borderId="0" xfId="0"/>
    <xf numFmtId="44" fontId="0" fillId="0" borderId="0" xfId="1" applyFont="1"/>
    <xf numFmtId="164" fontId="0" fillId="0" borderId="0" xfId="2" applyNumberFormat="1" applyFont="1"/>
    <xf numFmtId="0" fontId="0" fillId="0" borderId="0" xfId="0" applyAlignment="1">
      <alignment vertical="center" wrapText="1"/>
    </xf>
    <xf numFmtId="0" fontId="0" fillId="0" borderId="0" xfId="0" applyAlignment="1">
      <alignment wrapText="1"/>
    </xf>
    <xf numFmtId="0" fontId="2" fillId="0" borderId="0" xfId="0" applyFont="1"/>
    <xf numFmtId="0" fontId="0" fillId="0" borderId="0" xfId="0" applyAlignment="1"/>
    <xf numFmtId="0" fontId="2" fillId="2" borderId="0" xfId="0" applyFont="1" applyFill="1"/>
    <xf numFmtId="0" fontId="0" fillId="2" borderId="0" xfId="0" applyFill="1"/>
    <xf numFmtId="44" fontId="2" fillId="2" borderId="0" xfId="1" applyFont="1" applyFill="1"/>
    <xf numFmtId="0" fontId="0" fillId="0" borderId="0" xfId="0" applyBorder="1" applyAlignment="1">
      <alignment wrapText="1"/>
    </xf>
    <xf numFmtId="166" fontId="0" fillId="0" borderId="0" xfId="1" applyNumberFormat="1" applyFont="1"/>
    <xf numFmtId="0" fontId="0" fillId="0" borderId="1" xfId="0" applyBorder="1"/>
    <xf numFmtId="166" fontId="0" fillId="0" borderId="0" xfId="1" applyNumberFormat="1" applyFont="1" applyBorder="1"/>
    <xf numFmtId="166" fontId="0" fillId="0" borderId="0" xfId="0" applyNumberFormat="1"/>
    <xf numFmtId="44" fontId="0" fillId="0" borderId="0" xfId="0" applyNumberFormat="1"/>
    <xf numFmtId="166" fontId="0" fillId="0" borderId="0" xfId="1" applyNumberFormat="1" applyFont="1" applyAlignment="1">
      <alignment wrapText="1"/>
    </xf>
    <xf numFmtId="0" fontId="3" fillId="0" borderId="0" xfId="0" applyFont="1"/>
    <xf numFmtId="166" fontId="0" fillId="0" borderId="1" xfId="1" applyNumberFormat="1" applyFont="1" applyBorder="1" applyAlignment="1">
      <alignment wrapText="1"/>
    </xf>
    <xf numFmtId="0" fontId="0" fillId="0" borderId="0" xfId="0" applyAlignment="1">
      <alignment horizontal="right" wrapText="1"/>
    </xf>
    <xf numFmtId="166" fontId="0" fillId="0" borderId="0" xfId="0" applyNumberFormat="1" applyAlignment="1">
      <alignment wrapText="1"/>
    </xf>
    <xf numFmtId="1" fontId="0" fillId="0" borderId="0" xfId="0" applyNumberFormat="1" applyAlignment="1">
      <alignment wrapText="1"/>
    </xf>
    <xf numFmtId="166" fontId="0" fillId="0" borderId="0" xfId="1" applyNumberFormat="1" applyFont="1" applyAlignment="1">
      <alignment vertical="center" wrapText="1"/>
    </xf>
    <xf numFmtId="0" fontId="0" fillId="0" borderId="0" xfId="0" applyAlignment="1">
      <alignment horizontal="right"/>
    </xf>
    <xf numFmtId="0" fontId="0" fillId="0" borderId="1" xfId="0" applyBorder="1" applyAlignment="1">
      <alignment wrapText="1"/>
    </xf>
    <xf numFmtId="0" fontId="0" fillId="0" borderId="1" xfId="0" applyBorder="1" applyAlignment="1">
      <alignment horizontal="right" wrapText="1"/>
    </xf>
    <xf numFmtId="166" fontId="0" fillId="0" borderId="1" xfId="0" applyNumberFormat="1" applyBorder="1" applyAlignment="1">
      <alignment wrapText="1"/>
    </xf>
    <xf numFmtId="0" fontId="2" fillId="0" borderId="0" xfId="0" applyFont="1" applyAlignment="1">
      <alignment wrapText="1"/>
    </xf>
    <xf numFmtId="0" fontId="2" fillId="0" borderId="0" xfId="0" applyFont="1" applyAlignment="1">
      <alignment horizontal="right" wrapText="1"/>
    </xf>
    <xf numFmtId="0" fontId="3" fillId="0" borderId="0" xfId="0" applyFont="1" applyAlignment="1">
      <alignment wrapText="1"/>
    </xf>
    <xf numFmtId="0" fontId="0" fillId="0" borderId="0" xfId="0" applyBorder="1" applyAlignment="1">
      <alignment horizontal="right" wrapText="1"/>
    </xf>
    <xf numFmtId="166" fontId="0" fillId="0" borderId="0" xfId="1" applyNumberFormat="1" applyFont="1" applyBorder="1" applyAlignment="1">
      <alignment wrapText="1"/>
    </xf>
    <xf numFmtId="166" fontId="0" fillId="0" borderId="0" xfId="0" applyNumberFormat="1" applyBorder="1" applyAlignment="1">
      <alignment wrapText="1"/>
    </xf>
    <xf numFmtId="166" fontId="0" fillId="0" borderId="0" xfId="1" applyNumberFormat="1" applyFont="1" applyBorder="1" applyAlignment="1"/>
    <xf numFmtId="0" fontId="2" fillId="0" borderId="1" xfId="0" applyFont="1" applyBorder="1" applyAlignment="1"/>
    <xf numFmtId="0" fontId="0" fillId="0" borderId="0" xfId="0" applyBorder="1" applyAlignment="1">
      <alignment vertical="center" wrapText="1"/>
    </xf>
    <xf numFmtId="166" fontId="0" fillId="0" borderId="0" xfId="0" applyNumberFormat="1" applyBorder="1"/>
    <xf numFmtId="0" fontId="0" fillId="0" borderId="1" xfId="0" applyBorder="1" applyAlignment="1">
      <alignment horizontal="right"/>
    </xf>
    <xf numFmtId="166" fontId="0" fillId="0" borderId="1" xfId="0" applyNumberFormat="1" applyBorder="1"/>
    <xf numFmtId="0" fontId="3" fillId="0" borderId="0" xfId="0" applyFont="1" applyBorder="1" applyAlignment="1">
      <alignment horizontal="left" wrapText="1"/>
    </xf>
    <xf numFmtId="0" fontId="3" fillId="0" borderId="0" xfId="0" applyFont="1" applyBorder="1" applyAlignment="1">
      <alignment wrapText="1"/>
    </xf>
    <xf numFmtId="166" fontId="3" fillId="2" borderId="0" xfId="1" applyNumberFormat="1" applyFont="1" applyFill="1" applyAlignment="1">
      <alignment wrapText="1"/>
    </xf>
    <xf numFmtId="0" fontId="0" fillId="2" borderId="0" xfId="0" applyFill="1" applyAlignment="1">
      <alignment vertical="center" wrapText="1"/>
    </xf>
    <xf numFmtId="0" fontId="3" fillId="2" borderId="0" xfId="0" applyFont="1" applyFill="1"/>
    <xf numFmtId="168" fontId="3" fillId="2" borderId="0" xfId="0" applyNumberFormat="1" applyFont="1" applyFill="1"/>
    <xf numFmtId="168" fontId="3" fillId="2" borderId="0" xfId="1" applyNumberFormat="1" applyFont="1" applyFill="1"/>
    <xf numFmtId="0" fontId="3" fillId="2" borderId="0" xfId="0" applyFont="1" applyFill="1" applyAlignment="1">
      <alignment wrapText="1"/>
    </xf>
    <xf numFmtId="0" fontId="2" fillId="0" borderId="1" xfId="0" applyFont="1" applyBorder="1" applyAlignment="1">
      <alignment wrapText="1"/>
    </xf>
    <xf numFmtId="0" fontId="2" fillId="0" borderId="1" xfId="0" applyFont="1" applyBorder="1" applyAlignment="1">
      <alignment horizontal="right" wrapText="1"/>
    </xf>
    <xf numFmtId="167" fontId="3" fillId="2" borderId="0" xfId="0" applyNumberFormat="1" applyFont="1" applyFill="1"/>
    <xf numFmtId="0" fontId="3" fillId="2" borderId="0" xfId="0" applyFont="1" applyFill="1" applyAlignment="1"/>
    <xf numFmtId="0" fontId="3" fillId="2" borderId="0" xfId="0" applyFont="1" applyFill="1" applyAlignment="1">
      <alignment vertical="center" wrapText="1"/>
    </xf>
    <xf numFmtId="166" fontId="3" fillId="2" borderId="0" xfId="1" applyNumberFormat="1" applyFont="1" applyFill="1"/>
    <xf numFmtId="166" fontId="3" fillId="2" borderId="1" xfId="1" applyNumberFormat="1" applyFont="1" applyFill="1" applyBorder="1"/>
    <xf numFmtId="0" fontId="3" fillId="2" borderId="1" xfId="0" applyFont="1" applyFill="1" applyBorder="1"/>
    <xf numFmtId="0" fontId="0" fillId="0" borderId="0" xfId="0" quotePrefix="1" applyAlignment="1">
      <alignment horizontal="right" wrapText="1"/>
    </xf>
    <xf numFmtId="0" fontId="2" fillId="0" borderId="0" xfId="0" applyFont="1" applyBorder="1" applyAlignment="1">
      <alignment horizontal="right" wrapText="1"/>
    </xf>
    <xf numFmtId="0" fontId="0" fillId="0" borderId="3" xfId="0" applyBorder="1" applyAlignment="1">
      <alignment horizontal="center"/>
    </xf>
    <xf numFmtId="0" fontId="0" fillId="0" borderId="3" xfId="0" applyFill="1" applyBorder="1" applyAlignment="1">
      <alignment horizontal="center"/>
    </xf>
    <xf numFmtId="0" fontId="2" fillId="0" borderId="3" xfId="0" applyFont="1" applyBorder="1" applyAlignment="1">
      <alignment wrapText="1"/>
    </xf>
    <xf numFmtId="0" fontId="2" fillId="0" borderId="3" xfId="0" applyFont="1" applyBorder="1" applyAlignment="1">
      <alignment horizontal="right" wrapText="1"/>
    </xf>
    <xf numFmtId="0" fontId="0" fillId="0" borderId="3" xfId="0" applyBorder="1" applyAlignment="1">
      <alignment horizontal="right" wrapText="1"/>
    </xf>
    <xf numFmtId="0" fontId="0" fillId="0" borderId="3" xfId="0" applyBorder="1" applyAlignment="1">
      <alignment wrapText="1"/>
    </xf>
    <xf numFmtId="166" fontId="0" fillId="0" borderId="3" xfId="0" applyNumberFormat="1" applyBorder="1" applyAlignment="1">
      <alignment wrapText="1"/>
    </xf>
    <xf numFmtId="0" fontId="0" fillId="0" borderId="3" xfId="0" quotePrefix="1" applyBorder="1" applyAlignment="1">
      <alignment horizontal="right" wrapText="1"/>
    </xf>
    <xf numFmtId="0" fontId="0" fillId="0" borderId="3" xfId="0" applyBorder="1" applyAlignment="1"/>
    <xf numFmtId="169" fontId="0" fillId="0" borderId="3" xfId="0" applyNumberFormat="1" applyBorder="1" applyAlignment="1"/>
    <xf numFmtId="166" fontId="0" fillId="0" borderId="3" xfId="0" applyNumberFormat="1" applyBorder="1" applyAlignment="1"/>
    <xf numFmtId="166" fontId="0" fillId="0" borderId="3" xfId="1" applyNumberFormat="1" applyFont="1" applyBorder="1" applyAlignment="1">
      <alignment wrapText="1"/>
    </xf>
    <xf numFmtId="169" fontId="0" fillId="0" borderId="3" xfId="0" applyNumberFormat="1" applyBorder="1" applyAlignment="1">
      <alignment wrapText="1"/>
    </xf>
    <xf numFmtId="166" fontId="0" fillId="0" borderId="3" xfId="1" applyNumberFormat="1" applyFont="1" applyBorder="1" applyAlignment="1"/>
    <xf numFmtId="0" fontId="2" fillId="0" borderId="3" xfId="0" applyFont="1" applyBorder="1" applyAlignment="1">
      <alignment horizontal="center" wrapText="1"/>
    </xf>
    <xf numFmtId="0" fontId="0" fillId="0" borderId="3" xfId="0" applyBorder="1" applyAlignment="1">
      <alignment horizontal="center" wrapText="1"/>
    </xf>
    <xf numFmtId="0" fontId="2" fillId="0" borderId="3" xfId="0" applyFont="1" applyBorder="1" applyAlignment="1"/>
    <xf numFmtId="0" fontId="3" fillId="2" borderId="0" xfId="0" applyFont="1" applyFill="1" applyAlignment="1">
      <alignment horizontal="center"/>
    </xf>
    <xf numFmtId="166" fontId="0" fillId="0" borderId="0" xfId="0" applyNumberFormat="1" applyAlignment="1"/>
    <xf numFmtId="0" fontId="3" fillId="0" borderId="0" xfId="0" applyFont="1" applyFill="1" applyAlignment="1">
      <alignment wrapText="1"/>
    </xf>
    <xf numFmtId="1" fontId="0" fillId="0" borderId="1" xfId="0" applyNumberFormat="1" applyBorder="1" applyAlignment="1">
      <alignment wrapText="1"/>
    </xf>
    <xf numFmtId="0" fontId="2" fillId="0" borderId="0" xfId="0" applyFont="1" applyBorder="1" applyAlignment="1"/>
    <xf numFmtId="0" fontId="3" fillId="0" borderId="0" xfId="0" applyFont="1" applyFill="1" applyBorder="1" applyAlignment="1">
      <alignment wrapText="1"/>
    </xf>
    <xf numFmtId="0" fontId="0" fillId="0" borderId="0" xfId="0" applyFill="1"/>
    <xf numFmtId="0" fontId="0" fillId="0" borderId="0" xfId="0" applyFill="1" applyAlignment="1">
      <alignment wrapText="1"/>
    </xf>
    <xf numFmtId="0" fontId="7" fillId="0" borderId="0" xfId="0" applyFont="1" applyFill="1" applyBorder="1" applyAlignment="1">
      <alignment horizontal="right" wrapText="1"/>
    </xf>
    <xf numFmtId="0" fontId="7" fillId="0" borderId="1" xfId="0" applyFont="1" applyBorder="1" applyAlignment="1">
      <alignment horizontal="right" wrapText="1"/>
    </xf>
    <xf numFmtId="0" fontId="8" fillId="0" borderId="0" xfId="0" applyFont="1" applyAlignment="1"/>
    <xf numFmtId="166" fontId="8" fillId="0" borderId="0" xfId="0" applyNumberFormat="1" applyFont="1" applyAlignment="1">
      <alignment vertical="center" wrapText="1"/>
    </xf>
    <xf numFmtId="0" fontId="8" fillId="0" borderId="0" xfId="0" applyFont="1"/>
    <xf numFmtId="166" fontId="8" fillId="0" borderId="0" xfId="1" applyNumberFormat="1" applyFont="1" applyAlignment="1">
      <alignment wrapText="1"/>
    </xf>
    <xf numFmtId="0" fontId="2" fillId="0" borderId="0" xfId="0" applyFont="1" applyFill="1" applyBorder="1" applyAlignment="1">
      <alignment horizontal="right" wrapText="1"/>
    </xf>
    <xf numFmtId="170" fontId="0" fillId="0" borderId="3" xfId="0" applyNumberFormat="1" applyBorder="1" applyAlignment="1"/>
    <xf numFmtId="0" fontId="2" fillId="3" borderId="3" xfId="4" applyFont="1" applyBorder="1" applyAlignment="1">
      <alignment horizontal="center"/>
    </xf>
    <xf numFmtId="0" fontId="0" fillId="0" borderId="0" xfId="0" applyAlignment="1">
      <alignment horizontal="left"/>
    </xf>
    <xf numFmtId="0" fontId="9" fillId="4" borderId="3" xfId="0" applyFont="1" applyFill="1" applyBorder="1" applyAlignment="1" applyProtection="1">
      <alignment horizontal="left" vertical="center"/>
    </xf>
    <xf numFmtId="43" fontId="0" fillId="0" borderId="0" xfId="3" applyFont="1" applyAlignment="1">
      <alignment horizontal="left"/>
    </xf>
    <xf numFmtId="0" fontId="2" fillId="3" borderId="0" xfId="4" applyFont="1" applyBorder="1" applyAlignment="1">
      <alignment horizontal="center"/>
    </xf>
    <xf numFmtId="0" fontId="0" fillId="3" borderId="3" xfId="4" applyFont="1" applyBorder="1" applyAlignment="1">
      <alignment horizontal="right" wrapText="1"/>
    </xf>
    <xf numFmtId="168" fontId="0" fillId="0" borderId="0" xfId="0" applyNumberFormat="1"/>
    <xf numFmtId="171" fontId="0" fillId="0" borderId="0" xfId="3" applyNumberFormat="1" applyFont="1" applyAlignment="1">
      <alignment horizontal="left"/>
    </xf>
    <xf numFmtId="171" fontId="2" fillId="0" borderId="0" xfId="3" applyNumberFormat="1" applyFont="1" applyAlignment="1">
      <alignment horizontal="left"/>
    </xf>
    <xf numFmtId="171" fontId="2" fillId="0" borderId="7" xfId="3" applyNumberFormat="1" applyFont="1" applyBorder="1" applyAlignment="1">
      <alignment horizontal="center"/>
    </xf>
    <xf numFmtId="171" fontId="0" fillId="0" borderId="0" xfId="3" applyNumberFormat="1" applyFont="1"/>
    <xf numFmtId="171" fontId="0" fillId="0" borderId="0" xfId="0" applyNumberFormat="1"/>
    <xf numFmtId="171" fontId="2" fillId="0" borderId="1" xfId="3" applyNumberFormat="1" applyFont="1" applyBorder="1" applyAlignment="1"/>
    <xf numFmtId="171" fontId="12" fillId="0" borderId="9" xfId="3" applyNumberFormat="1" applyFont="1" applyFill="1" applyBorder="1" applyAlignment="1" applyProtection="1">
      <alignment horizontal="right" vertical="center" wrapText="1"/>
    </xf>
    <xf numFmtId="171" fontId="2" fillId="2" borderId="1" xfId="3" applyNumberFormat="1" applyFont="1" applyFill="1" applyBorder="1" applyAlignment="1"/>
    <xf numFmtId="171" fontId="2" fillId="2" borderId="7" xfId="3" applyNumberFormat="1" applyFont="1" applyFill="1" applyBorder="1"/>
    <xf numFmtId="168" fontId="12" fillId="0" borderId="6" xfId="0" applyNumberFormat="1" applyFont="1" applyFill="1" applyBorder="1" applyAlignment="1" applyProtection="1">
      <alignment horizontal="right" vertical="center" wrapText="1"/>
    </xf>
    <xf numFmtId="168" fontId="10" fillId="0" borderId="6" xfId="3" applyNumberFormat="1" applyFont="1" applyFill="1" applyBorder="1" applyAlignment="1" applyProtection="1">
      <alignment horizontal="right" vertical="center" wrapText="1"/>
    </xf>
    <xf numFmtId="168" fontId="10" fillId="0" borderId="8" xfId="3" applyNumberFormat="1" applyFont="1" applyFill="1" applyBorder="1" applyAlignment="1" applyProtection="1">
      <alignment horizontal="right" vertical="center" wrapText="1"/>
    </xf>
    <xf numFmtId="168" fontId="10" fillId="0" borderId="10" xfId="3" applyNumberFormat="1" applyFont="1" applyFill="1" applyBorder="1" applyAlignment="1" applyProtection="1">
      <alignment horizontal="right" vertical="center" wrapText="1"/>
    </xf>
    <xf numFmtId="168" fontId="10" fillId="2" borderId="11" xfId="3" applyNumberFormat="1" applyFont="1" applyFill="1" applyBorder="1" applyAlignment="1" applyProtection="1">
      <alignment horizontal="right" vertical="center" wrapText="1"/>
    </xf>
    <xf numFmtId="168" fontId="10" fillId="0" borderId="11" xfId="3" applyNumberFormat="1" applyFont="1" applyFill="1" applyBorder="1" applyAlignment="1" applyProtection="1">
      <alignment horizontal="right" vertical="center" wrapText="1"/>
    </xf>
    <xf numFmtId="168" fontId="12" fillId="0" borderId="0" xfId="3" applyNumberFormat="1" applyFont="1" applyFill="1" applyBorder="1" applyAlignment="1" applyProtection="1">
      <alignment horizontal="right" vertical="center" wrapText="1"/>
    </xf>
    <xf numFmtId="0" fontId="0" fillId="0" borderId="0" xfId="0" applyAlignment="1">
      <alignment horizontal="left" wrapText="1"/>
    </xf>
    <xf numFmtId="0" fontId="0" fillId="3" borderId="12" xfId="4" applyFont="1" applyBorder="1" applyAlignment="1">
      <alignment horizontal="right" wrapText="1"/>
    </xf>
    <xf numFmtId="0" fontId="9" fillId="4" borderId="12" xfId="0" applyFont="1" applyFill="1" applyBorder="1" applyAlignment="1" applyProtection="1">
      <alignment horizontal="left" vertical="center"/>
    </xf>
    <xf numFmtId="168" fontId="12" fillId="0" borderId="8" xfId="0" applyNumberFormat="1" applyFont="1" applyFill="1" applyBorder="1" applyAlignment="1" applyProtection="1">
      <alignment horizontal="right" vertical="center" wrapText="1"/>
    </xf>
    <xf numFmtId="0" fontId="2" fillId="0" borderId="1" xfId="0" applyFont="1" applyBorder="1"/>
    <xf numFmtId="0" fontId="3" fillId="0" borderId="2" xfId="0" applyFont="1" applyBorder="1" applyAlignment="1">
      <alignment horizontal="left" wrapText="1"/>
    </xf>
    <xf numFmtId="0" fontId="3" fillId="0" borderId="0" xfId="0" applyFont="1" applyAlignment="1">
      <alignment horizontal="left" wrapText="1"/>
    </xf>
    <xf numFmtId="0" fontId="3" fillId="0" borderId="0" xfId="0" applyFont="1" applyBorder="1" applyAlignment="1">
      <alignment horizontal="left" wrapText="1"/>
    </xf>
    <xf numFmtId="171" fontId="2" fillId="2" borderId="0" xfId="3" applyNumberFormat="1" applyFont="1" applyFill="1" applyAlignment="1">
      <alignment horizontal="center"/>
    </xf>
    <xf numFmtId="171" fontId="2" fillId="2" borderId="1" xfId="3" applyNumberFormat="1" applyFont="1" applyFill="1" applyBorder="1" applyAlignment="1">
      <alignment horizontal="center"/>
    </xf>
    <xf numFmtId="171" fontId="2" fillId="0" borderId="0" xfId="3" applyNumberFormat="1" applyFont="1" applyAlignment="1">
      <alignment horizontal="center"/>
    </xf>
    <xf numFmtId="171" fontId="2" fillId="0" borderId="1" xfId="3" applyNumberFormat="1" applyFont="1" applyBorder="1" applyAlignment="1">
      <alignment horizontal="center"/>
    </xf>
    <xf numFmtId="171" fontId="2" fillId="0" borderId="0" xfId="3" applyNumberFormat="1" applyFont="1" applyAlignment="1">
      <alignment horizontal="center" wrapText="1"/>
    </xf>
    <xf numFmtId="168" fontId="12" fillId="2" borderId="0" xfId="3" applyNumberFormat="1" applyFont="1" applyFill="1" applyBorder="1" applyAlignment="1" applyProtection="1">
      <alignment horizontal="right" vertical="center" wrapText="1"/>
    </xf>
    <xf numFmtId="0" fontId="11" fillId="4" borderId="3" xfId="0" applyFont="1" applyFill="1" applyBorder="1" applyAlignment="1" applyProtection="1">
      <alignment horizontal="left" vertical="center"/>
    </xf>
    <xf numFmtId="0" fontId="11" fillId="0" borderId="13" xfId="0" applyFont="1" applyFill="1" applyBorder="1" applyAlignment="1" applyProtection="1">
      <alignment horizontal="center" vertical="center" wrapText="1"/>
    </xf>
    <xf numFmtId="171" fontId="11" fillId="0" borderId="13" xfId="3" applyNumberFormat="1" applyFont="1" applyFill="1" applyBorder="1" applyAlignment="1" applyProtection="1">
      <alignment horizontal="center" vertical="center" wrapText="1"/>
    </xf>
    <xf numFmtId="0" fontId="2" fillId="0" borderId="1" xfId="0" applyFont="1" applyBorder="1" applyAlignment="1">
      <alignment horizontal="center"/>
    </xf>
    <xf numFmtId="1" fontId="11" fillId="0" borderId="14" xfId="3" applyNumberFormat="1" applyFont="1" applyFill="1" applyBorder="1" applyAlignment="1" applyProtection="1">
      <alignment horizontal="center" vertical="center" wrapText="1"/>
    </xf>
    <xf numFmtId="1" fontId="11" fillId="0" borderId="1" xfId="3" applyNumberFormat="1" applyFont="1" applyFill="1" applyBorder="1" applyAlignment="1" applyProtection="1">
      <alignment horizontal="center" vertical="center" wrapText="1"/>
    </xf>
    <xf numFmtId="0" fontId="13" fillId="0" borderId="16" xfId="5" applyFont="1" applyFill="1" applyBorder="1" applyAlignment="1">
      <alignment horizontal="right" wrapText="1"/>
    </xf>
    <xf numFmtId="0" fontId="15" fillId="0" borderId="16" xfId="6" applyFont="1" applyFill="1" applyBorder="1" applyAlignment="1">
      <alignment horizontal="right" wrapText="1"/>
    </xf>
    <xf numFmtId="168" fontId="13" fillId="0" borderId="16" xfId="5" applyNumberFormat="1" applyFont="1" applyFill="1" applyBorder="1" applyAlignment="1">
      <alignment horizontal="right" wrapText="1"/>
    </xf>
    <xf numFmtId="168" fontId="15" fillId="0" borderId="16" xfId="6" applyNumberFormat="1" applyFont="1" applyFill="1" applyBorder="1" applyAlignment="1">
      <alignment horizontal="right" wrapText="1"/>
    </xf>
    <xf numFmtId="0" fontId="13" fillId="5" borderId="15" xfId="5" applyFont="1" applyFill="1" applyBorder="1" applyAlignment="1">
      <alignment horizontal="right" wrapText="1"/>
    </xf>
    <xf numFmtId="0" fontId="13" fillId="5" borderId="17" xfId="5" applyFont="1" applyFill="1" applyBorder="1" applyAlignment="1">
      <alignment horizontal="right" wrapText="1"/>
    </xf>
    <xf numFmtId="168" fontId="13" fillId="2" borderId="16" xfId="5" applyNumberFormat="1" applyFont="1" applyFill="1" applyBorder="1" applyAlignment="1">
      <alignment horizontal="right" wrapText="1"/>
    </xf>
    <xf numFmtId="0" fontId="0" fillId="2" borderId="3" xfId="0" applyFill="1" applyBorder="1"/>
    <xf numFmtId="0" fontId="0" fillId="2" borderId="4" xfId="0" applyFill="1" applyBorder="1" applyAlignment="1">
      <alignment horizontal="center" vertical="top"/>
    </xf>
    <xf numFmtId="0" fontId="0" fillId="2" borderId="5" xfId="0" applyFill="1" applyBorder="1" applyAlignment="1">
      <alignment horizontal="center" vertical="top"/>
    </xf>
    <xf numFmtId="169" fontId="0" fillId="2" borderId="3" xfId="0" applyNumberFormat="1" applyFill="1" applyBorder="1"/>
    <xf numFmtId="0" fontId="0" fillId="2" borderId="3" xfId="0" applyFill="1" applyBorder="1" applyAlignment="1">
      <alignment horizontal="right"/>
    </xf>
    <xf numFmtId="186" fontId="0" fillId="0" borderId="0" xfId="0" applyNumberFormat="1"/>
    <xf numFmtId="188" fontId="0" fillId="0" borderId="0" xfId="0" applyNumberFormat="1"/>
    <xf numFmtId="190" fontId="0" fillId="0" borderId="0" xfId="1" applyNumberFormat="1" applyFont="1"/>
    <xf numFmtId="190" fontId="0" fillId="0" borderId="0" xfId="0" applyNumberFormat="1"/>
    <xf numFmtId="0" fontId="16" fillId="0" borderId="0" xfId="7"/>
    <xf numFmtId="3" fontId="16" fillId="0" borderId="0" xfId="7" applyNumberFormat="1" applyFont="1" applyFill="1" applyBorder="1" applyAlignment="1" applyProtection="1"/>
    <xf numFmtId="0" fontId="17" fillId="0" borderId="0" xfId="7" applyNumberFormat="1" applyFont="1" applyFill="1" applyBorder="1" applyAlignment="1" applyProtection="1">
      <alignment wrapText="1"/>
    </xf>
    <xf numFmtId="0" fontId="17" fillId="0" borderId="0" xfId="7" applyFont="1" applyAlignment="1">
      <alignment wrapText="1"/>
    </xf>
    <xf numFmtId="0" fontId="14" fillId="0" borderId="0" xfId="7" applyFont="1"/>
    <xf numFmtId="0" fontId="17" fillId="0" borderId="0" xfId="7" applyFont="1" applyAlignment="1"/>
    <xf numFmtId="166" fontId="16" fillId="0" borderId="0" xfId="1" applyNumberFormat="1" applyFont="1"/>
    <xf numFmtId="2" fontId="16" fillId="0" borderId="0" xfId="7" applyNumberFormat="1"/>
    <xf numFmtId="168" fontId="16" fillId="0" borderId="0" xfId="7" applyNumberFormat="1"/>
    <xf numFmtId="4" fontId="16" fillId="0" borderId="0" xfId="7" applyNumberFormat="1" applyFont="1" applyFill="1" applyBorder="1" applyAlignment="1" applyProtection="1"/>
    <xf numFmtId="166" fontId="16" fillId="0" borderId="0" xfId="1" applyNumberFormat="1" applyFont="1" applyFill="1" applyBorder="1" applyAlignment="1" applyProtection="1"/>
    <xf numFmtId="0" fontId="2" fillId="0" borderId="0" xfId="0" applyFont="1" applyAlignment="1">
      <alignment horizontal="center" vertical="center" wrapText="1"/>
    </xf>
    <xf numFmtId="4" fontId="0" fillId="0" borderId="0" xfId="0" applyNumberFormat="1" applyAlignment="1">
      <alignment vertical="center" wrapText="1"/>
    </xf>
  </cellXfs>
  <cellStyles count="8">
    <cellStyle name="40% - Accent4" xfId="4" builtinId="43"/>
    <cellStyle name="Comma" xfId="3" builtinId="3"/>
    <cellStyle name="Currency" xfId="1" builtinId="4"/>
    <cellStyle name="Normal" xfId="0" builtinId="0"/>
    <cellStyle name="Normal 2" xfId="7"/>
    <cellStyle name="Normal_Sheet2" xfId="5"/>
    <cellStyle name="Normal_Sheet2_1"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workbookViewId="0">
      <selection activeCell="B33" sqref="B33"/>
    </sheetView>
  </sheetViews>
  <sheetFormatPr defaultRowHeight="15" x14ac:dyDescent="0.25"/>
  <cols>
    <col min="1" max="1" width="4.85546875" customWidth="1"/>
    <col min="2" max="2" width="18" bestFit="1" customWidth="1"/>
    <col min="3" max="3" width="15.140625" customWidth="1"/>
    <col min="4" max="4" width="15.7109375" style="1" customWidth="1"/>
    <col min="5" max="5" width="14.42578125" customWidth="1"/>
    <col min="6" max="6" width="13.85546875" customWidth="1"/>
    <col min="7" max="7" width="10.7109375" customWidth="1"/>
    <col min="8" max="8" width="7.28515625" customWidth="1"/>
    <col min="9" max="9" width="18.28515625" customWidth="1"/>
    <col min="10" max="10" width="15.28515625" customWidth="1"/>
    <col min="11" max="12" width="15" customWidth="1"/>
    <col min="13" max="13" width="13.7109375" customWidth="1"/>
    <col min="14" max="14" width="7" customWidth="1"/>
  </cols>
  <sheetData>
    <row r="1" spans="1:6" s="5" customFormat="1" x14ac:dyDescent="0.25">
      <c r="A1" s="7" t="s">
        <v>12</v>
      </c>
      <c r="B1" s="7"/>
      <c r="C1" s="7"/>
      <c r="D1" s="9"/>
      <c r="E1" s="7"/>
      <c r="F1" s="7"/>
    </row>
    <row r="2" spans="1:6" x14ac:dyDescent="0.25">
      <c r="B2" t="s">
        <v>8</v>
      </c>
      <c r="C2" t="s">
        <v>9</v>
      </c>
      <c r="D2" s="1" t="s">
        <v>10</v>
      </c>
    </row>
    <row r="3" spans="1:6" x14ac:dyDescent="0.25">
      <c r="A3" t="s">
        <v>0</v>
      </c>
      <c r="B3" s="11">
        <v>54458.5</v>
      </c>
      <c r="C3" s="11">
        <v>150</v>
      </c>
      <c r="D3" s="11">
        <f>B3-C3</f>
        <v>54308.5</v>
      </c>
    </row>
    <row r="4" spans="1:6" x14ac:dyDescent="0.25">
      <c r="A4" t="s">
        <v>1</v>
      </c>
      <c r="B4" s="11">
        <v>6662674000</v>
      </c>
      <c r="C4" s="11">
        <v>5000000</v>
      </c>
      <c r="D4" s="11">
        <f t="shared" ref="D4:D10" si="0">B4-C4</f>
        <v>6657674000</v>
      </c>
      <c r="F4" s="2">
        <f>C4/B4</f>
        <v>7.5044944417211471E-4</v>
      </c>
    </row>
    <row r="5" spans="1:6" x14ac:dyDescent="0.25">
      <c r="A5" t="s">
        <v>2</v>
      </c>
      <c r="B5" s="11">
        <v>812319700</v>
      </c>
      <c r="C5" s="11">
        <v>1250000</v>
      </c>
      <c r="D5" s="11">
        <f t="shared" si="0"/>
        <v>811069700</v>
      </c>
    </row>
    <row r="6" spans="1:6" x14ac:dyDescent="0.25">
      <c r="A6" t="s">
        <v>3</v>
      </c>
      <c r="B6" s="11">
        <v>1091414000</v>
      </c>
      <c r="C6" s="11">
        <v>1000000</v>
      </c>
      <c r="D6" s="11">
        <f t="shared" si="0"/>
        <v>1090414000</v>
      </c>
    </row>
    <row r="7" spans="1:6" x14ac:dyDescent="0.25">
      <c r="A7" t="s">
        <v>4</v>
      </c>
      <c r="B7" s="11">
        <v>2018485000</v>
      </c>
      <c r="C7" s="11">
        <v>500000</v>
      </c>
      <c r="D7" s="11">
        <f t="shared" si="0"/>
        <v>2017985000</v>
      </c>
    </row>
    <row r="8" spans="1:6" x14ac:dyDescent="0.25">
      <c r="A8" t="s">
        <v>5</v>
      </c>
      <c r="B8" s="11">
        <v>17140420</v>
      </c>
      <c r="C8" s="11">
        <v>150000</v>
      </c>
      <c r="D8" s="11">
        <f t="shared" si="0"/>
        <v>16990420</v>
      </c>
    </row>
    <row r="9" spans="1:6" x14ac:dyDescent="0.25">
      <c r="A9" t="s">
        <v>6</v>
      </c>
      <c r="B9" s="11">
        <f>SUM(B5:B8)</f>
        <v>3939359120</v>
      </c>
      <c r="C9" s="11">
        <f>SUM(C5:C8)</f>
        <v>2900000</v>
      </c>
      <c r="D9" s="11">
        <f t="shared" si="0"/>
        <v>3936459120</v>
      </c>
    </row>
    <row r="10" spans="1:6" x14ac:dyDescent="0.25">
      <c r="A10" t="s">
        <v>7</v>
      </c>
      <c r="B10" s="11">
        <f>B4-B9</f>
        <v>2723314880</v>
      </c>
      <c r="C10" s="11">
        <f>C4-C9</f>
        <v>2100000</v>
      </c>
      <c r="D10" s="11">
        <f t="shared" si="0"/>
        <v>2721214880</v>
      </c>
    </row>
    <row r="16" spans="1:6" x14ac:dyDescent="0.25">
      <c r="D16" s="147"/>
    </row>
    <row r="17" spans="4:5" x14ac:dyDescent="0.25">
      <c r="D17" s="147"/>
    </row>
    <row r="18" spans="4:5" x14ac:dyDescent="0.25">
      <c r="D18" s="148"/>
      <c r="E18" s="14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workbookViewId="0">
      <selection activeCell="Q22" sqref="Q22"/>
    </sheetView>
  </sheetViews>
  <sheetFormatPr defaultRowHeight="15" x14ac:dyDescent="0.25"/>
  <cols>
    <col min="1" max="1" width="33.85546875" customWidth="1"/>
    <col min="2" max="3" width="8.42578125" customWidth="1"/>
    <col min="4" max="4" width="12.140625" customWidth="1"/>
    <col min="5" max="5" width="13.140625" customWidth="1"/>
    <col min="6" max="6" width="13.42578125" customWidth="1"/>
    <col min="7" max="7" width="6.42578125" customWidth="1"/>
    <col min="8" max="8" width="10.85546875" customWidth="1"/>
    <col min="9" max="10" width="12" bestFit="1" customWidth="1"/>
    <col min="12" max="12" width="12" bestFit="1" customWidth="1"/>
    <col min="13" max="13" width="11.7109375" bestFit="1" customWidth="1"/>
  </cols>
  <sheetData>
    <row r="1" spans="1:13" ht="17.25" x14ac:dyDescent="0.25">
      <c r="A1" s="34" t="s">
        <v>103</v>
      </c>
      <c r="B1" s="34"/>
      <c r="C1" s="34"/>
      <c r="D1" s="34"/>
      <c r="E1" s="34"/>
      <c r="F1" s="34"/>
      <c r="G1" s="35"/>
      <c r="H1" s="43"/>
    </row>
    <row r="2" spans="1:13" s="4" customFormat="1" ht="32.25" customHeight="1" x14ac:dyDescent="0.25">
      <c r="A2" s="27" t="s">
        <v>55</v>
      </c>
      <c r="B2" s="28" t="s">
        <v>56</v>
      </c>
      <c r="C2" s="28" t="s">
        <v>54</v>
      </c>
      <c r="D2" s="28" t="s">
        <v>57</v>
      </c>
      <c r="E2" s="28" t="s">
        <v>46</v>
      </c>
      <c r="F2" s="28" t="s">
        <v>63</v>
      </c>
      <c r="G2" s="28"/>
      <c r="H2" s="46" t="s">
        <v>71</v>
      </c>
      <c r="I2" s="4" t="s">
        <v>96</v>
      </c>
      <c r="J2" s="4" t="s">
        <v>97</v>
      </c>
      <c r="L2" s="4" t="s">
        <v>98</v>
      </c>
      <c r="M2" s="4" t="s">
        <v>99</v>
      </c>
    </row>
    <row r="3" spans="1:13" ht="17.25" x14ac:dyDescent="0.25">
      <c r="A3" t="s">
        <v>68</v>
      </c>
      <c r="B3" s="23">
        <v>400</v>
      </c>
      <c r="C3">
        <v>100</v>
      </c>
      <c r="D3" s="11">
        <v>250000</v>
      </c>
      <c r="E3" s="11">
        <f>F20*D3+F20*D4</f>
        <v>129830.62500000003</v>
      </c>
      <c r="F3" s="22">
        <f>(C3/100)*F20*D3+(C4/100)*F20*D4</f>
        <v>100979.37500000003</v>
      </c>
      <c r="G3" s="11"/>
      <c r="H3" s="49">
        <f>F3/F$10</f>
        <v>0.10097937500000002</v>
      </c>
      <c r="I3" s="11">
        <f>F20*D3</f>
        <v>72128.125000000015</v>
      </c>
      <c r="J3" s="11">
        <f>+F20*D4</f>
        <v>57702.500000000015</v>
      </c>
      <c r="K3" s="11"/>
      <c r="L3" s="11">
        <f>(C3/100)*F20*D3</f>
        <v>72128.125000000015</v>
      </c>
      <c r="M3" s="11">
        <f>+(C4/100)*F20*D4</f>
        <v>28851.250000000007</v>
      </c>
    </row>
    <row r="4" spans="1:13" ht="17.25" x14ac:dyDescent="0.25">
      <c r="A4" t="s">
        <v>59</v>
      </c>
      <c r="B4" s="23">
        <v>395</v>
      </c>
      <c r="C4">
        <v>50</v>
      </c>
      <c r="D4" s="11">
        <v>200000</v>
      </c>
      <c r="E4" s="14">
        <f>F22*D4</f>
        <v>20077.5</v>
      </c>
      <c r="F4" s="22">
        <f>(C4/100)*F22*D4</f>
        <v>10038.75</v>
      </c>
      <c r="G4" s="11"/>
      <c r="H4" s="49">
        <f t="shared" ref="H4:H10" si="0">F4/F$10</f>
        <v>1.0038750000000001E-2</v>
      </c>
      <c r="I4" s="14"/>
      <c r="J4" s="11">
        <f>F22*D4</f>
        <v>20077.5</v>
      </c>
      <c r="K4" s="11"/>
      <c r="L4" s="11"/>
      <c r="M4" s="11">
        <f>(C4/100)*F22*D4</f>
        <v>10038.75</v>
      </c>
    </row>
    <row r="5" spans="1:13" x14ac:dyDescent="0.25">
      <c r="A5" t="s">
        <v>15</v>
      </c>
      <c r="B5" s="23" t="s">
        <v>49</v>
      </c>
      <c r="C5">
        <v>50</v>
      </c>
      <c r="D5" s="11">
        <v>175000</v>
      </c>
      <c r="E5" s="14">
        <f>D5</f>
        <v>175000</v>
      </c>
      <c r="F5" s="22">
        <f>(C5/100)*D5</f>
        <v>87500</v>
      </c>
      <c r="G5" s="11"/>
      <c r="H5" s="49">
        <f t="shared" si="0"/>
        <v>8.7499999999999994E-2</v>
      </c>
    </row>
    <row r="6" spans="1:13" x14ac:dyDescent="0.25">
      <c r="A6" t="s">
        <v>50</v>
      </c>
      <c r="B6" s="23">
        <v>501</v>
      </c>
      <c r="C6">
        <v>100</v>
      </c>
      <c r="D6" s="11">
        <v>150000</v>
      </c>
      <c r="E6" s="14">
        <f>D6</f>
        <v>150000</v>
      </c>
      <c r="F6" s="22">
        <f>(C6/100)*D6</f>
        <v>150000</v>
      </c>
      <c r="G6" s="11"/>
      <c r="H6" s="49">
        <f t="shared" si="0"/>
        <v>0.15</v>
      </c>
    </row>
    <row r="7" spans="1:13" x14ac:dyDescent="0.25">
      <c r="A7" t="s">
        <v>17</v>
      </c>
      <c r="B7" s="23">
        <v>472</v>
      </c>
      <c r="C7">
        <v>100</v>
      </c>
      <c r="D7" s="13">
        <v>225000</v>
      </c>
      <c r="E7" s="14">
        <f>D7</f>
        <v>225000</v>
      </c>
      <c r="F7" s="22">
        <f>(C7/100)*D7</f>
        <v>225000</v>
      </c>
      <c r="G7" s="11"/>
      <c r="H7" s="49">
        <f t="shared" si="0"/>
        <v>0.22500000000000001</v>
      </c>
    </row>
    <row r="8" spans="1:13" s="4" customFormat="1" x14ac:dyDescent="0.25">
      <c r="A8" s="10" t="s">
        <v>53</v>
      </c>
      <c r="B8" s="30" t="s">
        <v>72</v>
      </c>
      <c r="C8" s="10">
        <v>100</v>
      </c>
      <c r="D8" s="31"/>
      <c r="E8" s="32">
        <f>D3*(1-F20)+D4*(1-F20-F22)</f>
        <v>300091.875</v>
      </c>
      <c r="F8" s="31">
        <f>(C3/100)*D3*(1-F20)+(C4/100)*D4*(1-F20-F22)</f>
        <v>238981.87499999997</v>
      </c>
      <c r="G8" s="33"/>
      <c r="H8" s="49">
        <f t="shared" si="0"/>
        <v>0.23898187499999998</v>
      </c>
      <c r="I8" s="16">
        <f>+D3*(1-F20)</f>
        <v>177871.87499999997</v>
      </c>
      <c r="J8" s="16">
        <f>+D4*(1-F20-F22)</f>
        <v>122220</v>
      </c>
      <c r="K8" s="16"/>
      <c r="L8" s="16">
        <f>(C3/100)*D3*(1-F20)</f>
        <v>177871.87499999997</v>
      </c>
      <c r="M8" s="16">
        <f>+(C4/100)*D4*(1-F20-F22)</f>
        <v>61110</v>
      </c>
    </row>
    <row r="9" spans="1:13" s="4" customFormat="1" x14ac:dyDescent="0.25">
      <c r="A9" s="10" t="s">
        <v>64</v>
      </c>
      <c r="B9" s="30"/>
      <c r="C9" s="10"/>
      <c r="D9" s="18"/>
      <c r="E9" s="26"/>
      <c r="F9" s="18">
        <f>SUM(E3:E8)-SUM(F3:F8)</f>
        <v>187500</v>
      </c>
      <c r="G9" s="33"/>
      <c r="H9" s="49">
        <f t="shared" si="0"/>
        <v>0.1875</v>
      </c>
    </row>
    <row r="10" spans="1:13" x14ac:dyDescent="0.25">
      <c r="A10" s="37" t="s">
        <v>35</v>
      </c>
      <c r="B10" s="12"/>
      <c r="C10" s="12"/>
      <c r="D10" s="38">
        <f>SUM(D3:D8)</f>
        <v>1000000</v>
      </c>
      <c r="E10" s="38">
        <f>SUM(E3:E9)</f>
        <v>1000000</v>
      </c>
      <c r="F10" s="38">
        <f>SUM(F3:F9)</f>
        <v>1000000</v>
      </c>
      <c r="G10" s="36"/>
      <c r="H10" s="49">
        <f t="shared" si="0"/>
        <v>1</v>
      </c>
    </row>
    <row r="11" spans="1:13" s="6" customFormat="1" ht="65.25" customHeight="1" x14ac:dyDescent="0.25">
      <c r="A11" s="118" t="s">
        <v>58</v>
      </c>
      <c r="B11" s="118"/>
      <c r="C11" s="118"/>
      <c r="D11" s="118"/>
      <c r="E11" s="118"/>
      <c r="F11" s="118"/>
      <c r="G11" s="29"/>
      <c r="H11" s="50"/>
      <c r="J11" s="75">
        <f>E8-F8</f>
        <v>61110.000000000029</v>
      </c>
    </row>
    <row r="12" spans="1:13" s="6" customFormat="1" ht="65.25" customHeight="1" x14ac:dyDescent="0.25">
      <c r="A12" s="119" t="s">
        <v>60</v>
      </c>
      <c r="B12" s="119"/>
      <c r="C12" s="119"/>
      <c r="D12" s="119"/>
      <c r="E12" s="119"/>
      <c r="F12" s="119"/>
      <c r="G12" s="29"/>
      <c r="H12" s="50"/>
    </row>
    <row r="13" spans="1:13" x14ac:dyDescent="0.25">
      <c r="G13" s="3"/>
      <c r="H13" s="43"/>
    </row>
    <row r="14" spans="1:13" x14ac:dyDescent="0.25">
      <c r="A14" s="43" t="s">
        <v>36</v>
      </c>
      <c r="B14" s="43"/>
      <c r="C14" s="43"/>
      <c r="D14" s="43" t="s">
        <v>44</v>
      </c>
      <c r="E14" s="43" t="s">
        <v>45</v>
      </c>
      <c r="F14" s="43"/>
      <c r="G14" s="51"/>
      <c r="H14" s="43"/>
    </row>
    <row r="15" spans="1:13" x14ac:dyDescent="0.25">
      <c r="A15" s="43" t="s">
        <v>37</v>
      </c>
      <c r="B15" s="43"/>
      <c r="C15" s="43"/>
      <c r="D15" s="52">
        <v>150000</v>
      </c>
      <c r="E15" s="43">
        <f>D15/D17</f>
        <v>0.375</v>
      </c>
      <c r="F15" s="43"/>
      <c r="G15" s="51"/>
      <c r="H15" s="43"/>
      <c r="J15" s="15">
        <f>D3*F20</f>
        <v>72128.125000000015</v>
      </c>
    </row>
    <row r="16" spans="1:13" x14ac:dyDescent="0.25">
      <c r="A16" s="43" t="s">
        <v>38</v>
      </c>
      <c r="B16" s="43"/>
      <c r="C16" s="43"/>
      <c r="D16" s="53">
        <v>250000</v>
      </c>
      <c r="E16" s="54">
        <f>D16/D17</f>
        <v>0.625</v>
      </c>
      <c r="F16" s="43"/>
      <c r="G16" s="51"/>
      <c r="H16" s="43"/>
    </row>
    <row r="17" spans="1:8" x14ac:dyDescent="0.25">
      <c r="A17" s="43" t="s">
        <v>39</v>
      </c>
      <c r="B17" s="43"/>
      <c r="C17" s="43"/>
      <c r="D17" s="52">
        <f>SUM(D15:D16)</f>
        <v>400000</v>
      </c>
      <c r="E17" s="52">
        <f>SUM(E15:E16)</f>
        <v>1</v>
      </c>
      <c r="F17" s="43"/>
      <c r="G17" s="51"/>
      <c r="H17" s="43"/>
    </row>
    <row r="18" spans="1:8" x14ac:dyDescent="0.25">
      <c r="A18" s="43"/>
      <c r="B18" s="43"/>
      <c r="C18" s="43"/>
      <c r="D18" s="43"/>
      <c r="E18" s="43"/>
      <c r="F18" s="74" t="s">
        <v>93</v>
      </c>
      <c r="G18" s="51"/>
      <c r="H18" s="43"/>
    </row>
    <row r="19" spans="1:8" x14ac:dyDescent="0.25">
      <c r="A19" s="43" t="s">
        <v>40</v>
      </c>
      <c r="B19" s="43"/>
      <c r="C19" s="43"/>
      <c r="D19" s="43"/>
      <c r="E19" s="44">
        <v>0.30270000000000002</v>
      </c>
      <c r="F19" s="74"/>
      <c r="G19" s="51"/>
      <c r="H19" s="43"/>
    </row>
    <row r="20" spans="1:8" x14ac:dyDescent="0.25">
      <c r="A20" s="43" t="s">
        <v>41</v>
      </c>
      <c r="B20" s="43"/>
      <c r="C20" s="43"/>
      <c r="D20" s="43"/>
      <c r="E20" s="45">
        <v>0.28000000000000003</v>
      </c>
      <c r="F20" s="74">
        <f>E15*E19+E16*E20</f>
        <v>0.28851250000000006</v>
      </c>
      <c r="G20" s="51" t="s">
        <v>94</v>
      </c>
      <c r="H20" s="43"/>
    </row>
    <row r="21" spans="1:8" x14ac:dyDescent="0.25">
      <c r="A21" s="43" t="s">
        <v>42</v>
      </c>
      <c r="B21" s="43"/>
      <c r="C21" s="43"/>
      <c r="D21" s="43"/>
      <c r="E21" s="43">
        <v>0.1152</v>
      </c>
      <c r="F21" s="8"/>
      <c r="G21" s="51"/>
      <c r="H21" s="43"/>
    </row>
    <row r="22" spans="1:8" x14ac:dyDescent="0.25">
      <c r="A22" s="43" t="s">
        <v>43</v>
      </c>
      <c r="B22" s="43"/>
      <c r="C22" s="43"/>
      <c r="D22" s="43"/>
      <c r="E22" s="43">
        <v>9.1499999999999998E-2</v>
      </c>
      <c r="F22" s="74">
        <f>E15*E21+E16*E22</f>
        <v>0.1003875</v>
      </c>
      <c r="G22" s="74" t="s">
        <v>95</v>
      </c>
      <c r="H22" s="43"/>
    </row>
    <row r="23" spans="1:8" x14ac:dyDescent="0.25">
      <c r="G23" s="3"/>
    </row>
    <row r="24" spans="1:8" x14ac:dyDescent="0.25">
      <c r="G24" s="3"/>
    </row>
    <row r="25" spans="1:8" x14ac:dyDescent="0.25">
      <c r="G25" s="3"/>
    </row>
    <row r="26" spans="1:8" x14ac:dyDescent="0.25">
      <c r="G26" s="3"/>
    </row>
    <row r="27" spans="1:8" x14ac:dyDescent="0.25">
      <c r="G27" s="3"/>
    </row>
    <row r="28" spans="1:8" x14ac:dyDescent="0.25">
      <c r="G28" s="3"/>
    </row>
    <row r="29" spans="1:8" x14ac:dyDescent="0.25">
      <c r="G29" s="3"/>
    </row>
    <row r="30" spans="1:8" x14ac:dyDescent="0.25">
      <c r="G30" s="3"/>
    </row>
    <row r="31" spans="1:8" x14ac:dyDescent="0.25">
      <c r="G31" s="3"/>
    </row>
    <row r="32" spans="1:8" x14ac:dyDescent="0.25">
      <c r="G32" s="3"/>
    </row>
    <row r="33" spans="7:7" x14ac:dyDescent="0.25">
      <c r="G33" s="3"/>
    </row>
    <row r="34" spans="7:7" x14ac:dyDescent="0.25">
      <c r="G34" s="3"/>
    </row>
    <row r="35" spans="7:7" x14ac:dyDescent="0.25">
      <c r="G35" s="3"/>
    </row>
    <row r="36" spans="7:7" x14ac:dyDescent="0.25">
      <c r="G36" s="3"/>
    </row>
    <row r="37" spans="7:7" x14ac:dyDescent="0.25">
      <c r="G37" s="3"/>
    </row>
    <row r="38" spans="7:7" x14ac:dyDescent="0.25">
      <c r="G38" s="3"/>
    </row>
    <row r="39" spans="7:7" x14ac:dyDescent="0.25">
      <c r="G39" s="3"/>
    </row>
    <row r="63" spans="7:7" x14ac:dyDescent="0.25">
      <c r="G63" s="3"/>
    </row>
    <row r="64" spans="7:7" x14ac:dyDescent="0.25">
      <c r="G64" s="3"/>
    </row>
    <row r="65" spans="7:7" x14ac:dyDescent="0.25">
      <c r="G65" s="3"/>
    </row>
    <row r="66" spans="7:7" x14ac:dyDescent="0.25">
      <c r="G66" s="3"/>
    </row>
    <row r="67" spans="7:7" x14ac:dyDescent="0.25">
      <c r="G67" s="3"/>
    </row>
    <row r="68" spans="7:7" x14ac:dyDescent="0.25">
      <c r="G68" s="3"/>
    </row>
    <row r="69" spans="7:7" x14ac:dyDescent="0.25">
      <c r="G69" s="3"/>
    </row>
    <row r="70" spans="7:7" x14ac:dyDescent="0.25">
      <c r="G70" s="3"/>
    </row>
    <row r="71" spans="7:7" x14ac:dyDescent="0.25">
      <c r="G71" s="3"/>
    </row>
    <row r="72" spans="7:7" x14ac:dyDescent="0.25">
      <c r="G72" s="3"/>
    </row>
    <row r="73" spans="7:7" x14ac:dyDescent="0.25">
      <c r="G73" s="3"/>
    </row>
  </sheetData>
  <mergeCells count="2">
    <mergeCell ref="A11:F11"/>
    <mergeCell ref="A12:F12"/>
  </mergeCells>
  <pageMargins left="0.7" right="0.7"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J8" sqref="J8"/>
    </sheetView>
  </sheetViews>
  <sheetFormatPr defaultRowHeight="15" x14ac:dyDescent="0.25"/>
  <cols>
    <col min="1" max="1" width="33.140625" customWidth="1"/>
    <col min="2" max="2" width="7.42578125" customWidth="1"/>
    <col min="4" max="4" width="12.140625" customWidth="1"/>
    <col min="5" max="7" width="12" customWidth="1"/>
    <col min="8" max="8" width="6.85546875" customWidth="1"/>
    <col min="9" max="9" width="10.5703125" style="17" bestFit="1" customWidth="1"/>
    <col min="10" max="10" width="14.140625" customWidth="1"/>
    <col min="11" max="11" width="17.42578125" customWidth="1"/>
    <col min="12" max="12" width="7.7109375" customWidth="1"/>
    <col min="13" max="13" width="17.42578125" customWidth="1"/>
    <col min="14" max="14" width="11.5703125" customWidth="1"/>
    <col min="15" max="15" width="16.140625" customWidth="1"/>
    <col min="16" max="16" width="14.5703125" customWidth="1"/>
    <col min="17" max="18" width="16.140625" customWidth="1"/>
    <col min="19" max="19" width="15.5703125" customWidth="1"/>
  </cols>
  <sheetData>
    <row r="1" spans="1:13" ht="17.25" x14ac:dyDescent="0.25">
      <c r="A1" s="34" t="s">
        <v>104</v>
      </c>
      <c r="B1" s="34"/>
      <c r="C1" s="34"/>
      <c r="D1" s="34"/>
      <c r="E1" s="34"/>
      <c r="F1" s="34"/>
      <c r="G1" s="34"/>
      <c r="H1" s="78"/>
      <c r="K1" s="34"/>
    </row>
    <row r="2" spans="1:13" ht="33" customHeight="1" x14ac:dyDescent="0.25">
      <c r="A2" s="47" t="s">
        <v>61</v>
      </c>
      <c r="B2" s="48" t="s">
        <v>56</v>
      </c>
      <c r="C2" s="48" t="s">
        <v>54</v>
      </c>
      <c r="D2" s="48" t="s">
        <v>57</v>
      </c>
      <c r="E2" s="48" t="s">
        <v>46</v>
      </c>
      <c r="F2" s="48" t="s">
        <v>62</v>
      </c>
      <c r="G2" s="48" t="s">
        <v>101</v>
      </c>
      <c r="H2" s="56"/>
      <c r="I2" s="46" t="s">
        <v>106</v>
      </c>
      <c r="J2" s="88" t="s">
        <v>111</v>
      </c>
      <c r="K2" s="82" t="s">
        <v>107</v>
      </c>
      <c r="L2" s="82" t="s">
        <v>108</v>
      </c>
      <c r="M2" s="83" t="s">
        <v>105</v>
      </c>
    </row>
    <row r="3" spans="1:13" s="6" customFormat="1" ht="17.25" x14ac:dyDescent="0.25">
      <c r="A3" s="4" t="s">
        <v>65</v>
      </c>
      <c r="B3" s="19" t="s">
        <v>47</v>
      </c>
      <c r="C3" s="21">
        <v>100</v>
      </c>
      <c r="D3" s="16">
        <v>10000</v>
      </c>
      <c r="E3" s="20">
        <f>D3</f>
        <v>10000</v>
      </c>
      <c r="F3" s="20">
        <f>(C3/100)*E3</f>
        <v>10000</v>
      </c>
      <c r="G3" s="20">
        <f t="shared" ref="G3:G8" si="0">F3+I3</f>
        <v>10000</v>
      </c>
      <c r="H3" s="32"/>
      <c r="I3" s="41">
        <v>0</v>
      </c>
      <c r="J3" s="75">
        <f t="shared" ref="J3:J12" si="1">G3*50</f>
        <v>500000</v>
      </c>
      <c r="K3" s="84"/>
      <c r="L3" s="84"/>
      <c r="M3" s="85">
        <f>E3+L3</f>
        <v>10000</v>
      </c>
    </row>
    <row r="4" spans="1:13" ht="17.25" x14ac:dyDescent="0.25">
      <c r="A4" s="4" t="s">
        <v>67</v>
      </c>
      <c r="B4" s="19">
        <v>400</v>
      </c>
      <c r="C4" s="21">
        <v>100</v>
      </c>
      <c r="D4" s="16">
        <v>15000</v>
      </c>
      <c r="E4" s="20">
        <f>D4*D18+D5*D18</f>
        <v>9686.4000000000015</v>
      </c>
      <c r="F4" s="20">
        <f>(C4/100)*D4*D18+(C5/100)*D5*D18</f>
        <v>8657.2200000000012</v>
      </c>
      <c r="G4" s="20">
        <f t="shared" si="0"/>
        <v>8960.1581250000017</v>
      </c>
      <c r="H4" s="32"/>
      <c r="I4" s="41">
        <f>D9*'FH Sales'!H3</f>
        <v>302.93812500000007</v>
      </c>
      <c r="J4" s="75">
        <f t="shared" si="1"/>
        <v>448007.90625000012</v>
      </c>
      <c r="K4" s="86">
        <f>'FH Sales'!E3</f>
        <v>129830.62500000003</v>
      </c>
      <c r="L4" s="86">
        <f>D$9*K4/K$12</f>
        <v>389.49187500000005</v>
      </c>
      <c r="M4" s="85">
        <f t="shared" ref="M4:M11" si="2">E4+L4</f>
        <v>10075.891875000001</v>
      </c>
    </row>
    <row r="5" spans="1:13" ht="17.25" x14ac:dyDescent="0.25">
      <c r="A5" s="4" t="s">
        <v>69</v>
      </c>
      <c r="B5" s="19">
        <v>395</v>
      </c>
      <c r="C5" s="21">
        <v>80</v>
      </c>
      <c r="D5" s="16">
        <v>17000</v>
      </c>
      <c r="E5" s="20">
        <f>D5*D20</f>
        <v>1958.3999999999999</v>
      </c>
      <c r="F5" s="20">
        <f>(C5/100)*D5*D20</f>
        <v>1566.72</v>
      </c>
      <c r="G5" s="20">
        <f t="shared" si="0"/>
        <v>1596.8362500000001</v>
      </c>
      <c r="H5" s="32"/>
      <c r="I5" s="41">
        <f>D9*'FH Sales'!H4</f>
        <v>30.116250000000001</v>
      </c>
      <c r="J5" s="75">
        <f t="shared" si="1"/>
        <v>79841.8125</v>
      </c>
      <c r="K5" s="86">
        <f>'FH Sales'!E4</f>
        <v>20077.5</v>
      </c>
      <c r="L5" s="86">
        <f t="shared" ref="L5:L10" si="3">D$9*K5/K$12</f>
        <v>60.232500000000002</v>
      </c>
      <c r="M5" s="85">
        <f t="shared" si="2"/>
        <v>2018.6324999999999</v>
      </c>
    </row>
    <row r="6" spans="1:13" ht="18" customHeight="1" x14ac:dyDescent="0.25">
      <c r="A6" s="4" t="s">
        <v>38</v>
      </c>
      <c r="B6" s="19" t="s">
        <v>49</v>
      </c>
      <c r="C6" s="21">
        <v>50</v>
      </c>
      <c r="D6" s="16">
        <v>20000</v>
      </c>
      <c r="E6" s="20">
        <f>D6</f>
        <v>20000</v>
      </c>
      <c r="F6" s="20">
        <f>(C6/100)*D6</f>
        <v>10000</v>
      </c>
      <c r="G6" s="20">
        <f t="shared" si="0"/>
        <v>10262.5</v>
      </c>
      <c r="H6" s="32"/>
      <c r="I6" s="41">
        <f>D9*'FH Sales'!H5</f>
        <v>262.5</v>
      </c>
      <c r="J6" s="75">
        <f t="shared" si="1"/>
        <v>513125</v>
      </c>
      <c r="K6" s="86">
        <f>'FH Sales'!E5</f>
        <v>175000</v>
      </c>
      <c r="L6" s="86">
        <f t="shared" si="3"/>
        <v>525</v>
      </c>
      <c r="M6" s="85">
        <f t="shared" si="2"/>
        <v>20525</v>
      </c>
    </row>
    <row r="7" spans="1:13" ht="15.75" customHeight="1" x14ac:dyDescent="0.25">
      <c r="A7" s="4" t="s">
        <v>50</v>
      </c>
      <c r="B7" s="19">
        <v>501</v>
      </c>
      <c r="C7" s="21">
        <v>100</v>
      </c>
      <c r="D7" s="16">
        <v>10000</v>
      </c>
      <c r="E7" s="20">
        <f>D7</f>
        <v>10000</v>
      </c>
      <c r="F7" s="20">
        <f>(C7/100)*D7</f>
        <v>10000</v>
      </c>
      <c r="G7" s="20">
        <f t="shared" si="0"/>
        <v>10450</v>
      </c>
      <c r="H7" s="32"/>
      <c r="I7" s="41">
        <f>D9*'FH Sales'!H6</f>
        <v>450</v>
      </c>
      <c r="J7" s="75">
        <f t="shared" si="1"/>
        <v>522500</v>
      </c>
      <c r="K7" s="86">
        <f>'FH Sales'!E6</f>
        <v>150000</v>
      </c>
      <c r="L7" s="86">
        <f t="shared" si="3"/>
        <v>450</v>
      </c>
      <c r="M7" s="85">
        <f t="shared" si="2"/>
        <v>10450</v>
      </c>
    </row>
    <row r="8" spans="1:13" x14ac:dyDescent="0.25">
      <c r="A8" s="4" t="s">
        <v>53</v>
      </c>
      <c r="B8" s="19" t="s">
        <v>72</v>
      </c>
      <c r="C8" s="21">
        <v>100</v>
      </c>
      <c r="D8" s="16">
        <v>25000</v>
      </c>
      <c r="E8" s="20">
        <f>D8+D4*(1-D18)+D5*(1-D18-D20)</f>
        <v>45355.199999999997</v>
      </c>
      <c r="F8" s="20">
        <f>(C8/100)*D8+(C4/100)*D4*(1-D18)+(C5/100)*D5*(1-D18-D20)</f>
        <v>43376.06</v>
      </c>
      <c r="G8" s="20">
        <f t="shared" si="0"/>
        <v>44093.005624999998</v>
      </c>
      <c r="H8" s="32"/>
      <c r="I8" s="41">
        <f>D9*'FH Sales'!H8</f>
        <v>716.94562499999995</v>
      </c>
      <c r="J8" s="75">
        <f t="shared" si="1"/>
        <v>2204650.28125</v>
      </c>
      <c r="K8" s="86">
        <f>'FH Sales'!E8</f>
        <v>300091.875</v>
      </c>
      <c r="L8" s="86">
        <f t="shared" si="3"/>
        <v>900.27562499999999</v>
      </c>
      <c r="M8" s="85">
        <f>E8+L8</f>
        <v>46255.475624999999</v>
      </c>
    </row>
    <row r="9" spans="1:13" ht="17.25" x14ac:dyDescent="0.25">
      <c r="A9" s="4" t="s">
        <v>70</v>
      </c>
      <c r="B9" s="55" t="s">
        <v>73</v>
      </c>
      <c r="C9" s="21">
        <v>100</v>
      </c>
      <c r="D9" s="16">
        <v>3000</v>
      </c>
      <c r="E9" s="20">
        <f>D9</f>
        <v>3000</v>
      </c>
      <c r="F9" s="20">
        <f>E9</f>
        <v>3000</v>
      </c>
      <c r="G9" s="20"/>
      <c r="H9" s="32"/>
      <c r="I9" s="41"/>
      <c r="J9" s="75">
        <f t="shared" si="1"/>
        <v>0</v>
      </c>
      <c r="K9" s="86"/>
      <c r="L9" s="86"/>
      <c r="M9" s="85"/>
    </row>
    <row r="10" spans="1:13" x14ac:dyDescent="0.25">
      <c r="A10" s="4" t="s">
        <v>17</v>
      </c>
      <c r="B10" s="19">
        <v>472</v>
      </c>
      <c r="C10" s="21"/>
      <c r="D10" s="16"/>
      <c r="E10" s="20"/>
      <c r="F10" s="20"/>
      <c r="G10" s="20">
        <f>F10+I10</f>
        <v>675</v>
      </c>
      <c r="H10" s="32"/>
      <c r="I10" s="41">
        <f>D9*'FH Sales'!H7</f>
        <v>675</v>
      </c>
      <c r="J10" s="75">
        <f t="shared" si="1"/>
        <v>33750</v>
      </c>
      <c r="K10" s="86">
        <f>'FH Sales'!E7</f>
        <v>225000</v>
      </c>
      <c r="L10" s="86">
        <f t="shared" si="3"/>
        <v>675</v>
      </c>
      <c r="M10" s="85">
        <f t="shared" si="2"/>
        <v>675</v>
      </c>
    </row>
    <row r="11" spans="1:13" x14ac:dyDescent="0.25">
      <c r="A11" s="24" t="s">
        <v>64</v>
      </c>
      <c r="B11" s="25"/>
      <c r="C11" s="77"/>
      <c r="D11" s="18"/>
      <c r="E11" s="26"/>
      <c r="F11" s="26">
        <f>SUM(E3:E9)-SUM(F3:F9)</f>
        <v>13400</v>
      </c>
      <c r="G11" s="26">
        <f>F11+I11</f>
        <v>13962.5</v>
      </c>
      <c r="H11" s="32"/>
      <c r="I11" s="41">
        <f>D9*'FH Sales'!H9</f>
        <v>562.5</v>
      </c>
      <c r="J11" s="75">
        <f t="shared" si="1"/>
        <v>698125</v>
      </c>
      <c r="K11" s="86"/>
      <c r="L11" s="86"/>
      <c r="M11" s="85">
        <f t="shared" si="2"/>
        <v>0</v>
      </c>
    </row>
    <row r="12" spans="1:13" x14ac:dyDescent="0.25">
      <c r="A12" s="24" t="s">
        <v>52</v>
      </c>
      <c r="B12" s="24"/>
      <c r="C12" s="12"/>
      <c r="D12" s="18">
        <f>SUM(D3:D11)</f>
        <v>100000</v>
      </c>
      <c r="E12" s="18">
        <f>SUM(E3:E11)</f>
        <v>100000</v>
      </c>
      <c r="F12" s="18">
        <f>SUM(F3:F11)</f>
        <v>100000</v>
      </c>
      <c r="G12" s="18">
        <f>SUM(G3:G11)</f>
        <v>100000</v>
      </c>
      <c r="H12" s="31"/>
      <c r="I12" s="41">
        <f>SUM(I3:I11)</f>
        <v>3000</v>
      </c>
      <c r="J12" s="75">
        <f t="shared" si="1"/>
        <v>5000000</v>
      </c>
      <c r="K12" s="87">
        <f>SUM(K3:K11)</f>
        <v>1000000</v>
      </c>
      <c r="L12" s="87">
        <f>SUM(L3:L11)</f>
        <v>3000</v>
      </c>
      <c r="M12" s="87">
        <f>SUM(M3:M11)</f>
        <v>100000</v>
      </c>
    </row>
    <row r="13" spans="1:13" ht="54.75" customHeight="1" x14ac:dyDescent="0.25">
      <c r="A13" s="118" t="s">
        <v>58</v>
      </c>
      <c r="B13" s="118"/>
      <c r="C13" s="118"/>
      <c r="D13" s="118"/>
      <c r="E13" s="118"/>
      <c r="F13" s="118"/>
      <c r="G13" s="118"/>
      <c r="H13" s="40"/>
      <c r="I13" s="43"/>
      <c r="J13" s="76"/>
      <c r="K13" s="79"/>
      <c r="L13" s="80"/>
    </row>
    <row r="14" spans="1:13" ht="15.75" customHeight="1" x14ac:dyDescent="0.25">
      <c r="A14" s="119" t="s">
        <v>66</v>
      </c>
      <c r="B14" s="119"/>
      <c r="C14" s="119"/>
      <c r="D14" s="119"/>
      <c r="E14" s="119"/>
      <c r="F14" s="119"/>
      <c r="G14" s="119"/>
      <c r="H14" s="29"/>
      <c r="I14" s="43"/>
      <c r="K14" s="76"/>
      <c r="L14" s="81"/>
      <c r="M14" s="4"/>
    </row>
    <row r="15" spans="1:13" ht="29.25" customHeight="1" x14ac:dyDescent="0.25">
      <c r="A15" s="119" t="s">
        <v>102</v>
      </c>
      <c r="B15" s="119"/>
      <c r="C15" s="119"/>
      <c r="D15" s="119"/>
      <c r="E15" s="119"/>
      <c r="F15" s="119"/>
      <c r="G15" s="119"/>
      <c r="H15" s="29"/>
      <c r="I15" s="43"/>
      <c r="K15" s="76"/>
      <c r="L15" s="80"/>
    </row>
    <row r="16" spans="1:13" ht="35.25" customHeight="1" x14ac:dyDescent="0.25">
      <c r="A16" s="120" t="s">
        <v>100</v>
      </c>
      <c r="B16" s="120"/>
      <c r="C16" s="120"/>
      <c r="D16" s="120"/>
      <c r="E16" s="120"/>
      <c r="F16" s="120"/>
      <c r="G16" s="120"/>
      <c r="H16" s="40"/>
      <c r="I16" s="43"/>
      <c r="K16" s="79"/>
      <c r="L16" s="80"/>
    </row>
    <row r="17" spans="1:12" ht="28.5" customHeight="1" x14ac:dyDescent="0.25">
      <c r="A17" s="39"/>
      <c r="B17" s="39"/>
      <c r="C17" s="39"/>
      <c r="D17" s="39"/>
      <c r="E17" s="39"/>
      <c r="F17" s="39"/>
      <c r="G17" s="39"/>
      <c r="H17" s="39"/>
      <c r="I17" s="43"/>
      <c r="K17" s="80"/>
      <c r="L17" s="80"/>
    </row>
    <row r="18" spans="1:12" ht="29.25" customHeight="1" x14ac:dyDescent="0.25">
      <c r="A18" s="43" t="s">
        <v>40</v>
      </c>
      <c r="B18" s="43"/>
      <c r="C18" s="43"/>
      <c r="D18" s="44">
        <v>0.30270000000000002</v>
      </c>
      <c r="E18" s="8"/>
      <c r="F18" s="8"/>
      <c r="G18" s="8"/>
      <c r="H18" s="42"/>
      <c r="I18" s="43"/>
      <c r="K18" s="80"/>
      <c r="L18" s="80"/>
    </row>
    <row r="19" spans="1:12" ht="16.5" customHeight="1" x14ac:dyDescent="0.25">
      <c r="A19" s="43"/>
      <c r="B19" s="43"/>
      <c r="C19" s="43"/>
      <c r="D19" s="45"/>
      <c r="E19" s="8"/>
      <c r="F19" s="8"/>
      <c r="G19" s="8"/>
      <c r="H19" s="42"/>
      <c r="I19" s="43"/>
      <c r="K19" s="80"/>
      <c r="L19" s="80"/>
    </row>
    <row r="20" spans="1:12" x14ac:dyDescent="0.25">
      <c r="A20" s="43" t="s">
        <v>42</v>
      </c>
      <c r="B20" s="43"/>
      <c r="C20" s="43"/>
      <c r="D20" s="43">
        <v>0.1152</v>
      </c>
      <c r="E20" s="8"/>
      <c r="F20" s="8"/>
      <c r="G20" s="8"/>
      <c r="H20" s="42"/>
      <c r="I20" s="43"/>
      <c r="K20" s="80"/>
      <c r="L20" s="80"/>
    </row>
    <row r="21" spans="1:12" x14ac:dyDescent="0.25">
      <c r="A21" s="43"/>
      <c r="B21" s="43"/>
      <c r="C21" s="43"/>
      <c r="D21" s="43"/>
      <c r="E21" s="8"/>
      <c r="F21" s="8"/>
      <c r="G21" s="8"/>
      <c r="H21" s="42"/>
      <c r="I21" s="43"/>
      <c r="K21" s="80"/>
      <c r="L21" s="80"/>
    </row>
    <row r="22" spans="1:12" x14ac:dyDescent="0.25">
      <c r="H22" s="3"/>
      <c r="I22" s="43"/>
      <c r="K22" s="80"/>
      <c r="L22" s="80"/>
    </row>
  </sheetData>
  <mergeCells count="4">
    <mergeCell ref="A13:G13"/>
    <mergeCell ref="A14:G14"/>
    <mergeCell ref="A15:G15"/>
    <mergeCell ref="A16:G16"/>
  </mergeCells>
  <pageMargins left="0.7" right="0.7" top="0.75" bottom="0.75" header="0.3" footer="0.3"/>
  <pageSetup orientation="landscape" r:id="rId1"/>
  <ignoredErrors>
    <ignoredError sqref="E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J27" sqref="J27"/>
    </sheetView>
  </sheetViews>
  <sheetFormatPr defaultRowHeight="15" x14ac:dyDescent="0.25"/>
  <cols>
    <col min="1" max="1" width="25.85546875" customWidth="1"/>
    <col min="2" max="2" width="7.85546875" customWidth="1"/>
    <col min="3" max="3" width="17.42578125" customWidth="1"/>
    <col min="4" max="4" width="12.42578125" customWidth="1"/>
    <col min="5" max="5" width="15.7109375" customWidth="1"/>
    <col min="6" max="6" width="17.5703125" customWidth="1"/>
    <col min="7" max="7" width="16.7109375" customWidth="1"/>
    <col min="8" max="8" width="13.28515625" customWidth="1"/>
    <col min="9" max="9" width="13.7109375" customWidth="1"/>
  </cols>
  <sheetData>
    <row r="1" spans="1:10" x14ac:dyDescent="0.25">
      <c r="A1" s="73" t="s">
        <v>76</v>
      </c>
      <c r="B1" s="73"/>
      <c r="C1" s="73"/>
      <c r="D1" s="73"/>
      <c r="E1" s="73"/>
      <c r="F1" s="73"/>
      <c r="G1" s="73"/>
      <c r="H1" s="73"/>
      <c r="I1" s="73"/>
    </row>
    <row r="2" spans="1:10" x14ac:dyDescent="0.25">
      <c r="A2" s="65"/>
      <c r="B2" s="65"/>
      <c r="C2" s="57" t="s">
        <v>77</v>
      </c>
      <c r="D2" s="57" t="s">
        <v>78</v>
      </c>
      <c r="E2" s="57" t="s">
        <v>79</v>
      </c>
      <c r="F2" s="58" t="s">
        <v>80</v>
      </c>
      <c r="G2" s="58" t="s">
        <v>81</v>
      </c>
      <c r="H2" s="58" t="s">
        <v>89</v>
      </c>
      <c r="I2" s="58" t="s">
        <v>90</v>
      </c>
    </row>
    <row r="3" spans="1:10" s="6" customFormat="1" ht="45" x14ac:dyDescent="0.25">
      <c r="A3" s="59" t="s">
        <v>74</v>
      </c>
      <c r="B3" s="60" t="s">
        <v>56</v>
      </c>
      <c r="C3" s="61" t="s">
        <v>82</v>
      </c>
      <c r="D3" s="61" t="s">
        <v>83</v>
      </c>
      <c r="E3" s="61" t="s">
        <v>84</v>
      </c>
      <c r="F3" s="61" t="s">
        <v>85</v>
      </c>
      <c r="G3" s="61" t="s">
        <v>86</v>
      </c>
      <c r="H3" s="61" t="s">
        <v>87</v>
      </c>
      <c r="I3" s="61" t="s">
        <v>88</v>
      </c>
    </row>
    <row r="4" spans="1:10" x14ac:dyDescent="0.25">
      <c r="A4" s="62" t="s">
        <v>48</v>
      </c>
      <c r="B4" s="61" t="s">
        <v>47</v>
      </c>
      <c r="C4" s="63">
        <f>'FHFarm Sales'!D12*50</f>
        <v>5000000</v>
      </c>
      <c r="D4" s="66"/>
      <c r="E4" s="67"/>
      <c r="F4" s="67">
        <f>'FHFarm Sales'!G3*50</f>
        <v>500000</v>
      </c>
      <c r="G4" s="67"/>
      <c r="H4" s="89">
        <f>F4/C4</f>
        <v>0.1</v>
      </c>
      <c r="I4" s="89"/>
      <c r="J4" s="6"/>
    </row>
    <row r="5" spans="1:10" x14ac:dyDescent="0.25">
      <c r="A5" s="62" t="s">
        <v>91</v>
      </c>
      <c r="B5" s="61">
        <v>400</v>
      </c>
      <c r="C5" s="68">
        <v>14294464844</v>
      </c>
      <c r="D5" s="69">
        <v>2.173E-3</v>
      </c>
      <c r="E5" s="67">
        <f>D5*C5</f>
        <v>31061872.106012002</v>
      </c>
      <c r="F5" s="67">
        <f>'FHFarm Sales'!G4*50</f>
        <v>448007.90625000012</v>
      </c>
      <c r="G5" s="67">
        <f>E5-F5</f>
        <v>30613864.199762002</v>
      </c>
      <c r="H5" s="89">
        <f>F5/C5</f>
        <v>3.134135563235501E-5</v>
      </c>
      <c r="I5" s="89">
        <f>G5/C5</f>
        <v>2.141658644367645E-3</v>
      </c>
      <c r="J5" s="6"/>
    </row>
    <row r="6" spans="1:10" x14ac:dyDescent="0.25">
      <c r="A6" s="62" t="s">
        <v>16</v>
      </c>
      <c r="B6" s="61">
        <v>395</v>
      </c>
      <c r="C6" s="68">
        <v>101177585938</v>
      </c>
      <c r="D6" s="62">
        <v>2.0999999999999999E-5</v>
      </c>
      <c r="E6" s="67">
        <f>D6*C6</f>
        <v>2124729.3046979997</v>
      </c>
      <c r="F6" s="67">
        <f>'FHFarm Sales'!G5*50</f>
        <v>79841.8125</v>
      </c>
      <c r="G6" s="67">
        <f>E6-F6</f>
        <v>2044887.4921979997</v>
      </c>
      <c r="H6" s="89">
        <f>F6/C6</f>
        <v>7.8912549414774313E-7</v>
      </c>
      <c r="I6" s="89">
        <f>G6/C6</f>
        <v>2.0210874505852256E-5</v>
      </c>
      <c r="J6" s="6"/>
    </row>
    <row r="7" spans="1:10" x14ac:dyDescent="0.25">
      <c r="A7" s="62" t="s">
        <v>38</v>
      </c>
      <c r="B7" s="61" t="s">
        <v>49</v>
      </c>
      <c r="C7" s="68">
        <v>25990303645</v>
      </c>
      <c r="D7" s="62">
        <v>0.31131300000000001</v>
      </c>
      <c r="E7" s="67">
        <f>D7*C7</f>
        <v>8091119398.6358852</v>
      </c>
      <c r="F7" s="67">
        <f>'FHFarm Sales'!G6*50</f>
        <v>513125</v>
      </c>
      <c r="G7" s="70">
        <f>E7-F7</f>
        <v>8090606273.6358852</v>
      </c>
      <c r="H7" s="89">
        <f>F7/C7</f>
        <v>1.9742939790498164E-5</v>
      </c>
      <c r="I7" s="89">
        <f>G7/C7</f>
        <v>0.31129325706020949</v>
      </c>
      <c r="J7" s="6"/>
    </row>
    <row r="8" spans="1:10" x14ac:dyDescent="0.25">
      <c r="A8" s="62" t="s">
        <v>50</v>
      </c>
      <c r="B8" s="61">
        <v>501</v>
      </c>
      <c r="C8" s="68">
        <v>17724527344</v>
      </c>
      <c r="D8" s="62">
        <v>1.312E-3</v>
      </c>
      <c r="E8" s="67">
        <f>D8*C8</f>
        <v>23254579.875328001</v>
      </c>
      <c r="F8" s="67">
        <f>'FHFarm Sales'!G7*50</f>
        <v>522500</v>
      </c>
      <c r="G8" s="70">
        <f>E8-F8</f>
        <v>22732079.875328001</v>
      </c>
      <c r="H8" s="89">
        <f>F8/C8</f>
        <v>2.9478924309757322E-5</v>
      </c>
      <c r="I8" s="89">
        <f>G8/C8</f>
        <v>1.2825210756902427E-3</v>
      </c>
      <c r="J8" s="6"/>
    </row>
    <row r="9" spans="1:10" x14ac:dyDescent="0.25">
      <c r="A9" s="62" t="s">
        <v>53</v>
      </c>
      <c r="B9" s="61" t="s">
        <v>72</v>
      </c>
      <c r="C9" s="71"/>
      <c r="D9" s="71"/>
      <c r="E9" s="71"/>
      <c r="F9" s="65"/>
      <c r="G9" s="65"/>
      <c r="H9" s="89"/>
      <c r="I9" s="89"/>
      <c r="J9" s="6" t="s">
        <v>75</v>
      </c>
    </row>
    <row r="10" spans="1:10" x14ac:dyDescent="0.25">
      <c r="A10" s="62" t="s">
        <v>51</v>
      </c>
      <c r="B10" s="64" t="s">
        <v>73</v>
      </c>
      <c r="C10" s="72"/>
      <c r="D10" s="72"/>
      <c r="E10" s="65"/>
      <c r="F10" s="65"/>
      <c r="G10" s="65"/>
      <c r="H10" s="89"/>
      <c r="I10" s="89"/>
      <c r="J10" s="6" t="s">
        <v>75</v>
      </c>
    </row>
    <row r="11" spans="1:10" x14ac:dyDescent="0.25">
      <c r="A11" s="62" t="s">
        <v>92</v>
      </c>
      <c r="B11" s="61">
        <v>472</v>
      </c>
      <c r="C11" s="68">
        <v>7267987305</v>
      </c>
      <c r="D11" s="62">
        <v>1.9000000000000001E-5</v>
      </c>
      <c r="E11" s="67">
        <f>D11*C11</f>
        <v>138091.758795</v>
      </c>
      <c r="F11" s="67">
        <f>'FHFarm Sales'!G10*50</f>
        <v>33750</v>
      </c>
      <c r="G11" s="70">
        <f>E11-F11</f>
        <v>104341.758795</v>
      </c>
      <c r="H11" s="89">
        <f>F11/C11</f>
        <v>4.6436514792453947E-6</v>
      </c>
      <c r="I11" s="89">
        <f>G11/C11</f>
        <v>1.4356348520754605E-5</v>
      </c>
      <c r="J11" s="6"/>
    </row>
    <row r="12" spans="1:10" x14ac:dyDescent="0.25">
      <c r="A12" s="62"/>
      <c r="B12" s="62"/>
      <c r="C12" s="62"/>
      <c r="D12" s="62"/>
      <c r="E12" s="65"/>
      <c r="F12" s="65"/>
      <c r="G12" s="65"/>
      <c r="H12" s="65"/>
      <c r="I12" s="65"/>
      <c r="J12" s="6"/>
    </row>
    <row r="13" spans="1:10" x14ac:dyDescent="0.25">
      <c r="A13" s="6"/>
      <c r="B13" s="62"/>
      <c r="C13" s="61"/>
      <c r="D13" s="70"/>
      <c r="E13" s="62"/>
      <c r="F13" s="67"/>
      <c r="G13" s="67"/>
      <c r="H13" s="70"/>
      <c r="I13" s="66"/>
      <c r="J13" s="66"/>
    </row>
    <row r="14" spans="1:10" x14ac:dyDescent="0.25">
      <c r="F14" t="s">
        <v>109</v>
      </c>
    </row>
    <row r="15" spans="1:10" x14ac:dyDescent="0.25">
      <c r="F15" t="s">
        <v>110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pane xSplit="2" ySplit="5" topLeftCell="C12" activePane="bottomRight" state="frozen"/>
      <selection pane="topRight" activeCell="C1" sqref="C1"/>
      <selection pane="bottomLeft" activeCell="A6" sqref="A6"/>
      <selection pane="bottomRight" activeCell="C15" sqref="C15"/>
    </sheetView>
  </sheetViews>
  <sheetFormatPr defaultRowHeight="15" x14ac:dyDescent="0.25"/>
  <cols>
    <col min="1" max="1" width="13.42578125" customWidth="1"/>
    <col min="2" max="2" width="35.140625" style="91" customWidth="1"/>
    <col min="3" max="3" width="12.5703125" style="97" customWidth="1"/>
    <col min="4" max="4" width="10.140625" style="97" customWidth="1"/>
    <col min="5" max="5" width="3.7109375" style="97" customWidth="1"/>
    <col min="6" max="6" width="11.5703125" style="100" customWidth="1"/>
    <col min="7" max="7" width="10.140625" style="100" customWidth="1"/>
    <col min="8" max="8" width="4.7109375" customWidth="1"/>
    <col min="9" max="9" width="17.28515625" style="100" customWidth="1"/>
    <col min="10" max="10" width="14.85546875" style="100" customWidth="1"/>
    <col min="11" max="11" width="67.140625" customWidth="1"/>
    <col min="12" max="12" width="11.5703125" bestFit="1" customWidth="1"/>
  </cols>
  <sheetData>
    <row r="1" spans="1:12" x14ac:dyDescent="0.25">
      <c r="A1" s="102" t="s">
        <v>188</v>
      </c>
      <c r="D1" s="102"/>
      <c r="E1" s="102"/>
      <c r="F1" s="102"/>
      <c r="G1" s="102"/>
      <c r="I1" s="104" t="s">
        <v>189</v>
      </c>
      <c r="J1" s="104"/>
    </row>
    <row r="2" spans="1:12" ht="29.25" customHeight="1" x14ac:dyDescent="0.25">
      <c r="C2" s="123" t="s">
        <v>186</v>
      </c>
      <c r="D2" s="123"/>
      <c r="F2" s="125" t="s">
        <v>193</v>
      </c>
      <c r="G2" s="125"/>
      <c r="I2" s="121" t="s">
        <v>202</v>
      </c>
      <c r="J2" s="121"/>
    </row>
    <row r="3" spans="1:12" x14ac:dyDescent="0.25">
      <c r="C3" s="124" t="s">
        <v>190</v>
      </c>
      <c r="D3" s="124"/>
      <c r="E3" s="98"/>
      <c r="F3" s="124" t="s">
        <v>187</v>
      </c>
      <c r="G3" s="124"/>
      <c r="H3" s="5"/>
      <c r="I3" s="122" t="s">
        <v>187</v>
      </c>
      <c r="J3" s="122"/>
    </row>
    <row r="4" spans="1:12" x14ac:dyDescent="0.25">
      <c r="A4" s="94"/>
      <c r="C4" s="99" t="s">
        <v>11</v>
      </c>
      <c r="D4" s="99" t="s">
        <v>112</v>
      </c>
      <c r="E4" s="98"/>
      <c r="F4" s="99" t="s">
        <v>192</v>
      </c>
      <c r="G4" s="99" t="s">
        <v>191</v>
      </c>
      <c r="H4" s="5"/>
      <c r="I4" s="105" t="s">
        <v>13</v>
      </c>
      <c r="J4" s="105" t="s">
        <v>14</v>
      </c>
    </row>
    <row r="5" spans="1:12" s="5" customFormat="1" x14ac:dyDescent="0.25">
      <c r="A5" s="90"/>
      <c r="B5" s="127" t="s">
        <v>149</v>
      </c>
      <c r="C5" s="128">
        <v>3001</v>
      </c>
      <c r="D5" s="128">
        <v>3007</v>
      </c>
      <c r="E5" s="129"/>
      <c r="F5" s="128">
        <v>3001</v>
      </c>
      <c r="G5" s="128">
        <v>3007</v>
      </c>
      <c r="H5" s="130"/>
      <c r="I5" s="131">
        <f>F5</f>
        <v>3001</v>
      </c>
      <c r="J5" s="132">
        <f>G5</f>
        <v>3007</v>
      </c>
      <c r="K5" s="117" t="s">
        <v>194</v>
      </c>
    </row>
    <row r="6" spans="1:12" x14ac:dyDescent="0.25">
      <c r="A6" s="114" t="s">
        <v>77</v>
      </c>
      <c r="B6" s="115" t="s">
        <v>113</v>
      </c>
      <c r="C6" s="116">
        <v>6560.1433269806303</v>
      </c>
      <c r="D6" s="116">
        <v>0</v>
      </c>
      <c r="E6" s="108"/>
      <c r="F6" s="116">
        <v>6555.2209768979201</v>
      </c>
      <c r="G6" s="116">
        <v>5</v>
      </c>
      <c r="H6" s="96"/>
      <c r="I6" s="112">
        <f t="shared" ref="I6:I20" si="0">F6</f>
        <v>6555.2209768979201</v>
      </c>
      <c r="J6" s="109">
        <f>G6</f>
        <v>5</v>
      </c>
      <c r="K6" t="s">
        <v>196</v>
      </c>
      <c r="L6" s="96"/>
    </row>
    <row r="7" spans="1:12" ht="30" customHeight="1" x14ac:dyDescent="0.25">
      <c r="A7" s="95" t="s">
        <v>78</v>
      </c>
      <c r="B7" s="92" t="s">
        <v>114</v>
      </c>
      <c r="C7" s="106">
        <v>259.96220183372498</v>
      </c>
      <c r="D7" s="106">
        <v>2.7038018703460698</v>
      </c>
      <c r="E7" s="107"/>
      <c r="F7" s="106">
        <v>259.96220183372498</v>
      </c>
      <c r="G7" s="106">
        <v>2.7038018703460698</v>
      </c>
      <c r="H7" s="96"/>
      <c r="I7" s="112">
        <f t="shared" si="0"/>
        <v>259.96220183372498</v>
      </c>
      <c r="J7" s="110">
        <v>0</v>
      </c>
      <c r="K7" s="113" t="s">
        <v>203</v>
      </c>
      <c r="L7" s="96"/>
    </row>
    <row r="8" spans="1:12" x14ac:dyDescent="0.25">
      <c r="A8" s="95" t="s">
        <v>151</v>
      </c>
      <c r="B8" s="92" t="s">
        <v>115</v>
      </c>
      <c r="C8" s="106">
        <v>6820.1055288143498</v>
      </c>
      <c r="D8" s="106">
        <v>2.7038018703460698</v>
      </c>
      <c r="E8" s="107"/>
      <c r="F8" s="106">
        <v>6815.1831787316496</v>
      </c>
      <c r="G8" s="106">
        <v>7.7038018703460702</v>
      </c>
      <c r="H8" s="96"/>
      <c r="I8" s="112">
        <f t="shared" si="0"/>
        <v>6815.1831787316496</v>
      </c>
      <c r="J8" s="110">
        <f>J7+J6</f>
        <v>5</v>
      </c>
      <c r="K8" t="s">
        <v>195</v>
      </c>
      <c r="L8" s="96"/>
    </row>
    <row r="9" spans="1:12" ht="46.5" customHeight="1" x14ac:dyDescent="0.25">
      <c r="A9" s="95" t="s">
        <v>152</v>
      </c>
      <c r="B9" s="92" t="s">
        <v>116</v>
      </c>
      <c r="C9" s="106">
        <v>447.84790468215903</v>
      </c>
      <c r="D9" s="106">
        <v>1.2445942163467401</v>
      </c>
      <c r="E9" s="107"/>
      <c r="F9" s="106">
        <v>447.84790468215903</v>
      </c>
      <c r="G9" s="106">
        <v>1.2445942163467401</v>
      </c>
      <c r="H9" s="96"/>
      <c r="I9" s="112">
        <f t="shared" si="0"/>
        <v>447.84790468215903</v>
      </c>
      <c r="J9" s="110">
        <v>0</v>
      </c>
      <c r="K9" s="4" t="s">
        <v>204</v>
      </c>
      <c r="L9" s="96"/>
    </row>
    <row r="10" spans="1:12" x14ac:dyDescent="0.25">
      <c r="A10" s="95" t="s">
        <v>153</v>
      </c>
      <c r="B10" s="92" t="s">
        <v>150</v>
      </c>
      <c r="C10" s="106">
        <v>0</v>
      </c>
      <c r="D10" s="106">
        <v>0</v>
      </c>
      <c r="E10" s="107"/>
      <c r="F10" s="106">
        <v>0</v>
      </c>
      <c r="G10" s="106">
        <v>0</v>
      </c>
      <c r="H10" s="96"/>
      <c r="I10" s="112">
        <f t="shared" si="0"/>
        <v>0</v>
      </c>
      <c r="J10" s="111">
        <v>0</v>
      </c>
      <c r="K10" t="s">
        <v>196</v>
      </c>
      <c r="L10" s="96"/>
    </row>
    <row r="11" spans="1:12" x14ac:dyDescent="0.25">
      <c r="A11" s="95" t="s">
        <v>154</v>
      </c>
      <c r="B11" s="92" t="s">
        <v>117</v>
      </c>
      <c r="C11" s="106">
        <v>6372.2576241321904</v>
      </c>
      <c r="D11" s="106">
        <v>1.4592076539993299</v>
      </c>
      <c r="E11" s="107"/>
      <c r="F11" s="106">
        <v>6367.3352740494902</v>
      </c>
      <c r="G11" s="106">
        <v>6.4592076539993304</v>
      </c>
      <c r="H11" s="96"/>
      <c r="I11" s="112">
        <f t="shared" si="0"/>
        <v>6367.3352740494902</v>
      </c>
      <c r="J11" s="110">
        <f>J8-J9-J10</f>
        <v>5</v>
      </c>
      <c r="K11" t="s">
        <v>195</v>
      </c>
      <c r="L11" s="96"/>
    </row>
    <row r="12" spans="1:12" x14ac:dyDescent="0.25">
      <c r="A12" s="95" t="s">
        <v>155</v>
      </c>
      <c r="B12" s="92" t="s">
        <v>118</v>
      </c>
      <c r="C12" s="106">
        <v>9851.3814363827405</v>
      </c>
      <c r="D12" s="106">
        <v>69.550758362940201</v>
      </c>
      <c r="E12" s="107"/>
      <c r="F12" s="106">
        <v>9849.3838589470797</v>
      </c>
      <c r="G12" s="106">
        <v>2.0972123774479101</v>
      </c>
      <c r="H12" s="96"/>
      <c r="I12" s="112">
        <f t="shared" si="0"/>
        <v>9849.3838589470797</v>
      </c>
      <c r="J12" s="111">
        <f>G12</f>
        <v>2.0972123774479101</v>
      </c>
      <c r="K12" s="4" t="s">
        <v>196</v>
      </c>
      <c r="L12" s="96"/>
    </row>
    <row r="13" spans="1:12" ht="45" x14ac:dyDescent="0.25">
      <c r="A13" s="95" t="s">
        <v>156</v>
      </c>
      <c r="B13" s="92" t="s">
        <v>119</v>
      </c>
      <c r="C13" s="106">
        <v>4023.1765931397699</v>
      </c>
      <c r="D13" s="106">
        <v>0.26948937773704501</v>
      </c>
      <c r="E13" s="107"/>
      <c r="F13" s="106">
        <v>4023.1765931397699</v>
      </c>
      <c r="G13" s="106">
        <v>0.26948937773704501</v>
      </c>
      <c r="H13" s="96"/>
      <c r="I13" s="126">
        <f>F13-J13</f>
        <v>4020.9719428585199</v>
      </c>
      <c r="J13" s="110">
        <f>(50*'FHFarm Sales'!G8/1000000)</f>
        <v>2.2046502812500002</v>
      </c>
      <c r="K13" s="4" t="s">
        <v>207</v>
      </c>
      <c r="L13" s="96"/>
    </row>
    <row r="14" spans="1:12" x14ac:dyDescent="0.25">
      <c r="A14" s="95" t="s">
        <v>157</v>
      </c>
      <c r="B14" s="92" t="s">
        <v>120</v>
      </c>
      <c r="C14" s="106">
        <v>13874.558029522501</v>
      </c>
      <c r="D14" s="106">
        <v>69.820247740677203</v>
      </c>
      <c r="E14" s="107"/>
      <c r="F14" s="106">
        <v>13872.5604520868</v>
      </c>
      <c r="G14" s="106">
        <v>2.3667017551849598</v>
      </c>
      <c r="H14" s="96"/>
      <c r="I14" s="110">
        <f>I12+I13</f>
        <v>13870.355801805599</v>
      </c>
      <c r="J14" s="110">
        <f>J12+J13</f>
        <v>4.3018626586979103</v>
      </c>
      <c r="K14" t="s">
        <v>195</v>
      </c>
      <c r="L14" s="96"/>
    </row>
    <row r="15" spans="1:12" ht="45" x14ac:dyDescent="0.25">
      <c r="A15" s="95" t="s">
        <v>158</v>
      </c>
      <c r="B15" s="92" t="s">
        <v>121</v>
      </c>
      <c r="C15" s="106">
        <v>0.127269521355629</v>
      </c>
      <c r="D15" s="106">
        <v>0.51977330446243297</v>
      </c>
      <c r="E15" s="107"/>
      <c r="F15" s="106">
        <v>0.127269521355629</v>
      </c>
      <c r="G15" s="106">
        <v>0.51977330446243297</v>
      </c>
      <c r="H15" s="96"/>
      <c r="I15" s="112">
        <f t="shared" si="0"/>
        <v>0.127269521355629</v>
      </c>
      <c r="J15" s="110">
        <v>0</v>
      </c>
      <c r="K15" s="4" t="s">
        <v>205</v>
      </c>
    </row>
    <row r="16" spans="1:12" x14ac:dyDescent="0.25">
      <c r="A16" s="95" t="s">
        <v>159</v>
      </c>
      <c r="B16" s="92" t="s">
        <v>122</v>
      </c>
      <c r="C16" s="106">
        <v>0.87273047864437103</v>
      </c>
      <c r="D16" s="106">
        <v>0.48022669553756703</v>
      </c>
      <c r="E16" s="107"/>
      <c r="F16" s="106">
        <v>0.87273047864437103</v>
      </c>
      <c r="G16" s="106">
        <v>0.48022669553756703</v>
      </c>
      <c r="H16" s="96"/>
      <c r="I16" s="112">
        <f t="shared" si="0"/>
        <v>0.87273047864437103</v>
      </c>
      <c r="J16" s="110">
        <f>1-J15</f>
        <v>1</v>
      </c>
      <c r="K16" t="s">
        <v>195</v>
      </c>
    </row>
    <row r="17" spans="1:12" x14ac:dyDescent="0.25">
      <c r="A17" s="95" t="s">
        <v>160</v>
      </c>
      <c r="B17" s="92" t="s">
        <v>123</v>
      </c>
      <c r="C17" s="106">
        <v>1253.78060010016</v>
      </c>
      <c r="D17" s="106">
        <v>36.150627502173599</v>
      </c>
      <c r="E17" s="107"/>
      <c r="F17" s="106">
        <v>1253.5263693760501</v>
      </c>
      <c r="G17" s="106">
        <v>1.09007500758562</v>
      </c>
      <c r="H17" s="96"/>
      <c r="I17" s="112">
        <f t="shared" si="0"/>
        <v>1253.5263693760501</v>
      </c>
      <c r="J17" s="110">
        <f>J12*J15</f>
        <v>0</v>
      </c>
      <c r="K17" t="s">
        <v>195</v>
      </c>
      <c r="L17" s="96"/>
    </row>
    <row r="18" spans="1:12" ht="30" x14ac:dyDescent="0.25">
      <c r="A18" s="95" t="s">
        <v>161</v>
      </c>
      <c r="B18" s="92" t="s">
        <v>124</v>
      </c>
      <c r="C18" s="106">
        <v>512.02775933806799</v>
      </c>
      <c r="D18" s="106">
        <v>0.14007338438390901</v>
      </c>
      <c r="E18" s="107"/>
      <c r="F18" s="106">
        <v>512.02775933806799</v>
      </c>
      <c r="G18" s="106">
        <v>0.14007338438390901</v>
      </c>
      <c r="H18" s="96"/>
      <c r="I18" s="110">
        <f>I13*I15</f>
        <v>511.74717455201744</v>
      </c>
      <c r="J18" s="110">
        <f>J13*J15</f>
        <v>0</v>
      </c>
      <c r="K18" s="4" t="s">
        <v>206</v>
      </c>
    </row>
    <row r="19" spans="1:12" x14ac:dyDescent="0.25">
      <c r="A19" s="95" t="s">
        <v>162</v>
      </c>
      <c r="B19" s="92" t="s">
        <v>125</v>
      </c>
      <c r="C19" s="106">
        <v>1765.8083594382299</v>
      </c>
      <c r="D19" s="106">
        <v>36.290700886557502</v>
      </c>
      <c r="E19" s="107"/>
      <c r="F19" s="106">
        <v>1765.55412871412</v>
      </c>
      <c r="G19" s="106">
        <v>1.23014839196952</v>
      </c>
      <c r="H19" s="96"/>
      <c r="I19" s="110">
        <f>I17+I18</f>
        <v>1765.2735439280675</v>
      </c>
      <c r="J19" s="110">
        <f>J17+J18</f>
        <v>0</v>
      </c>
      <c r="K19" s="4" t="s">
        <v>195</v>
      </c>
    </row>
    <row r="20" spans="1:12" x14ac:dyDescent="0.25">
      <c r="A20" s="95" t="s">
        <v>163</v>
      </c>
      <c r="B20" s="92" t="s">
        <v>126</v>
      </c>
      <c r="C20" s="106">
        <v>8597.6008362825796</v>
      </c>
      <c r="D20" s="106">
        <v>33.400130860766602</v>
      </c>
      <c r="E20" s="107"/>
      <c r="F20" s="106">
        <v>8595.8574895710299</v>
      </c>
      <c r="G20" s="106">
        <v>1.0071373698623001</v>
      </c>
      <c r="H20" s="96"/>
      <c r="I20" s="112">
        <f t="shared" si="0"/>
        <v>8595.8574895710299</v>
      </c>
      <c r="J20" s="110">
        <f>J12-J17</f>
        <v>2.0972123774479101</v>
      </c>
      <c r="K20" s="4" t="s">
        <v>195</v>
      </c>
      <c r="L20" s="96"/>
    </row>
    <row r="21" spans="1:12" x14ac:dyDescent="0.25">
      <c r="A21" s="95" t="s">
        <v>164</v>
      </c>
      <c r="B21" s="92" t="s">
        <v>127</v>
      </c>
      <c r="C21" s="106">
        <v>3511.1488338017002</v>
      </c>
      <c r="D21" s="106">
        <v>0.129415993353136</v>
      </c>
      <c r="E21" s="107"/>
      <c r="F21" s="106">
        <v>3511.1488338017002</v>
      </c>
      <c r="G21" s="106">
        <v>0.129415993353136</v>
      </c>
      <c r="H21" s="96"/>
      <c r="I21" s="110">
        <f>I13-I18</f>
        <v>3509.2247683065025</v>
      </c>
      <c r="J21" s="110">
        <f>J13-J18</f>
        <v>2.2046502812500002</v>
      </c>
      <c r="K21" s="4" t="s">
        <v>195</v>
      </c>
    </row>
    <row r="22" spans="1:12" x14ac:dyDescent="0.25">
      <c r="A22" s="95" t="s">
        <v>165</v>
      </c>
      <c r="B22" s="92" t="s">
        <v>128</v>
      </c>
      <c r="C22" s="106">
        <v>12108.7496700843</v>
      </c>
      <c r="D22" s="106">
        <v>33.529546854119701</v>
      </c>
      <c r="E22" s="107"/>
      <c r="F22" s="106">
        <v>12107.0063233727</v>
      </c>
      <c r="G22" s="106">
        <v>1.1365533632154301</v>
      </c>
      <c r="H22" s="96"/>
      <c r="I22" s="110">
        <f>I20+I21</f>
        <v>12105.082257877533</v>
      </c>
      <c r="J22" s="110">
        <f>J20+J21</f>
        <v>4.3018626586979103</v>
      </c>
      <c r="K22" s="4" t="s">
        <v>195</v>
      </c>
    </row>
    <row r="23" spans="1:12" ht="63" customHeight="1" x14ac:dyDescent="0.25">
      <c r="A23" s="95" t="s">
        <v>166</v>
      </c>
      <c r="B23" s="92" t="s">
        <v>129</v>
      </c>
      <c r="C23" s="106">
        <v>4915.1280360221899</v>
      </c>
      <c r="D23" s="106">
        <v>0.175969824194908</v>
      </c>
      <c r="E23" s="107"/>
      <c r="F23" s="106">
        <v>4915.1280360221899</v>
      </c>
      <c r="G23" s="106">
        <v>0.175969824194908</v>
      </c>
      <c r="H23" s="96"/>
      <c r="I23" s="126">
        <f>F23-J23</f>
        <v>4910.8261733634918</v>
      </c>
      <c r="J23" s="110">
        <f>J22</f>
        <v>4.3018626586979103</v>
      </c>
      <c r="K23" s="4" t="s">
        <v>199</v>
      </c>
    </row>
    <row r="24" spans="1:12" x14ac:dyDescent="0.25">
      <c r="A24" s="95" t="s">
        <v>167</v>
      </c>
      <c r="B24" s="92" t="s">
        <v>130</v>
      </c>
      <c r="C24" s="106">
        <v>0.40591540579663998</v>
      </c>
      <c r="D24" s="106">
        <v>5.2482016819528502E-3</v>
      </c>
      <c r="E24" s="107"/>
      <c r="F24" s="106">
        <v>0.40597385552970799</v>
      </c>
      <c r="G24" s="106">
        <v>0.154827595333554</v>
      </c>
      <c r="H24" s="96"/>
      <c r="I24" s="110">
        <f>I23/I22</f>
        <v>0.40568300724827461</v>
      </c>
      <c r="J24" s="110">
        <f>J23/J22</f>
        <v>1</v>
      </c>
      <c r="K24" s="4" t="s">
        <v>195</v>
      </c>
      <c r="L24" s="103"/>
    </row>
    <row r="25" spans="1:12" x14ac:dyDescent="0.25">
      <c r="A25" s="95" t="s">
        <v>168</v>
      </c>
      <c r="B25" s="92" t="s">
        <v>131</v>
      </c>
      <c r="C25" s="106">
        <v>3489.8986323371701</v>
      </c>
      <c r="D25" s="106">
        <v>0.17529062296092099</v>
      </c>
      <c r="E25" s="107"/>
      <c r="F25" s="106">
        <v>3489.6934066250701</v>
      </c>
      <c r="G25" s="106">
        <v>0.155932657146339</v>
      </c>
      <c r="H25" s="96"/>
      <c r="I25" s="110">
        <f>I24*I20</f>
        <v>3487.1933162467799</v>
      </c>
      <c r="J25" s="110">
        <f>J24*J20</f>
        <v>2.0972123774479101</v>
      </c>
      <c r="K25" s="4" t="s">
        <v>195</v>
      </c>
      <c r="L25" s="103"/>
    </row>
    <row r="26" spans="1:12" x14ac:dyDescent="0.25">
      <c r="A26" s="95" t="s">
        <v>169</v>
      </c>
      <c r="B26" s="92" t="s">
        <v>132</v>
      </c>
      <c r="C26" s="106">
        <v>1425.2294036850201</v>
      </c>
      <c r="D26" s="106">
        <v>6.7920123398753003E-4</v>
      </c>
      <c r="E26" s="107"/>
      <c r="F26" s="106">
        <v>1425.43462939712</v>
      </c>
      <c r="G26" s="106">
        <v>2.0037167048569299E-2</v>
      </c>
      <c r="H26" s="96"/>
      <c r="I26" s="110">
        <f>I24*I21</f>
        <v>1423.6328571167116</v>
      </c>
      <c r="J26" s="110">
        <f>J24*J21</f>
        <v>2.2046502812500002</v>
      </c>
      <c r="K26" s="4" t="s">
        <v>195</v>
      </c>
      <c r="L26" s="103"/>
    </row>
    <row r="27" spans="1:12" x14ac:dyDescent="0.25">
      <c r="A27" s="95" t="s">
        <v>170</v>
      </c>
      <c r="B27" s="92" t="s">
        <v>133</v>
      </c>
      <c r="C27" s="106">
        <v>4915.1280360221899</v>
      </c>
      <c r="D27" s="106">
        <v>0.175969824194908</v>
      </c>
      <c r="E27" s="107"/>
      <c r="F27" s="106">
        <v>4915.1280360221899</v>
      </c>
      <c r="G27" s="106">
        <v>0.175969824194908</v>
      </c>
      <c r="H27" s="96"/>
      <c r="I27" s="110">
        <f>I25+I26</f>
        <v>4910.8261733634918</v>
      </c>
      <c r="J27" s="110">
        <f>J25+J26</f>
        <v>4.3018626586979103</v>
      </c>
      <c r="K27" s="4" t="s">
        <v>195</v>
      </c>
      <c r="L27" s="96"/>
    </row>
    <row r="28" spans="1:12" x14ac:dyDescent="0.25">
      <c r="A28" s="95" t="s">
        <v>171</v>
      </c>
      <c r="B28" s="92" t="s">
        <v>134</v>
      </c>
      <c r="C28" s="106">
        <v>5107.7022039453996</v>
      </c>
      <c r="D28" s="106">
        <v>33.224840237805701</v>
      </c>
      <c r="E28" s="107"/>
      <c r="F28" s="106">
        <v>5106.1640829459602</v>
      </c>
      <c r="G28" s="106">
        <v>0.85120471271595599</v>
      </c>
      <c r="H28" s="96"/>
      <c r="I28" s="110">
        <f>I20-I25</f>
        <v>5108.6641733242504</v>
      </c>
      <c r="J28" s="110">
        <f>J20-J25</f>
        <v>0</v>
      </c>
      <c r="K28" s="4" t="s">
        <v>195</v>
      </c>
    </row>
    <row r="29" spans="1:12" x14ac:dyDescent="0.25">
      <c r="A29" s="95" t="s">
        <v>172</v>
      </c>
      <c r="B29" s="92" t="s">
        <v>135</v>
      </c>
      <c r="C29" s="106">
        <v>2085.9194301166799</v>
      </c>
      <c r="D29" s="106">
        <v>0.12873679211914901</v>
      </c>
      <c r="E29" s="107"/>
      <c r="F29" s="106">
        <v>2085.71420440458</v>
      </c>
      <c r="G29" s="106">
        <v>0.109378826304567</v>
      </c>
      <c r="H29" s="96"/>
      <c r="I29" s="110">
        <f>I21-I26</f>
        <v>2085.5919111897911</v>
      </c>
      <c r="J29" s="110">
        <f>J21-J26</f>
        <v>0</v>
      </c>
      <c r="K29" s="4" t="s">
        <v>195</v>
      </c>
      <c r="L29" s="96"/>
    </row>
    <row r="30" spans="1:12" x14ac:dyDescent="0.25">
      <c r="A30" s="95" t="s">
        <v>173</v>
      </c>
      <c r="B30" s="92" t="s">
        <v>136</v>
      </c>
      <c r="C30" s="106">
        <v>7193.6216340620904</v>
      </c>
      <c r="D30" s="106">
        <v>33.3535770299248</v>
      </c>
      <c r="E30" s="107"/>
      <c r="F30" s="106">
        <v>7191.8782873505397</v>
      </c>
      <c r="G30" s="106">
        <v>0.96058353902052396</v>
      </c>
      <c r="H30" s="96"/>
      <c r="I30" s="110">
        <f>I28+I29</f>
        <v>7194.2560845140415</v>
      </c>
      <c r="J30" s="110">
        <f>J28+J29</f>
        <v>0</v>
      </c>
      <c r="K30" s="4" t="s">
        <v>195</v>
      </c>
    </row>
    <row r="31" spans="1:12" x14ac:dyDescent="0.25">
      <c r="A31" s="95" t="s">
        <v>174</v>
      </c>
      <c r="B31" s="92" t="s">
        <v>137</v>
      </c>
      <c r="C31" s="106">
        <v>6361.4828040455604</v>
      </c>
      <c r="D31" s="106">
        <v>69.3754677399793</v>
      </c>
      <c r="E31" s="107"/>
      <c r="F31" s="106">
        <v>6359.6904523220101</v>
      </c>
      <c r="G31" s="106">
        <v>1.9412797203015699</v>
      </c>
      <c r="H31" s="96"/>
      <c r="I31" s="110">
        <f>I28+I17</f>
        <v>6362.1905427003003</v>
      </c>
      <c r="J31" s="110">
        <f>J28+J17</f>
        <v>0</v>
      </c>
      <c r="K31" s="4" t="s">
        <v>195</v>
      </c>
    </row>
    <row r="32" spans="1:12" x14ac:dyDescent="0.25">
      <c r="A32" s="95" t="s">
        <v>175</v>
      </c>
      <c r="B32" s="92" t="s">
        <v>138</v>
      </c>
      <c r="C32" s="106">
        <v>2597.9471894547501</v>
      </c>
      <c r="D32" s="106">
        <v>0.268810176503058</v>
      </c>
      <c r="E32" s="107"/>
      <c r="F32" s="106">
        <v>2597.7419637426501</v>
      </c>
      <c r="G32" s="106">
        <v>0.24945221068847601</v>
      </c>
      <c r="H32" s="96"/>
      <c r="I32" s="110">
        <f>I29+I18</f>
        <v>2597.3390857418085</v>
      </c>
      <c r="J32" s="110">
        <f>J29+J18</f>
        <v>0</v>
      </c>
      <c r="K32" s="4" t="s">
        <v>195</v>
      </c>
    </row>
    <row r="33" spans="1:11" x14ac:dyDescent="0.25">
      <c r="A33" s="95" t="s">
        <v>176</v>
      </c>
      <c r="B33" s="92" t="s">
        <v>139</v>
      </c>
      <c r="C33" s="106">
        <v>8959.4299935003091</v>
      </c>
      <c r="D33" s="106">
        <v>69.644277916482295</v>
      </c>
      <c r="E33" s="107"/>
      <c r="F33" s="106">
        <v>8957.4324160646593</v>
      </c>
      <c r="G33" s="106">
        <v>2.1907319309900499</v>
      </c>
      <c r="H33" s="96"/>
      <c r="I33" s="110">
        <f>I31+I32</f>
        <v>8959.5296284421092</v>
      </c>
      <c r="J33" s="110">
        <f>J31+J32</f>
        <v>0</v>
      </c>
      <c r="K33" s="4" t="s">
        <v>195</v>
      </c>
    </row>
    <row r="34" spans="1:11" ht="16.5" customHeight="1" x14ac:dyDescent="0.25">
      <c r="A34" s="95" t="s">
        <v>177</v>
      </c>
      <c r="B34" s="92" t="s">
        <v>140</v>
      </c>
      <c r="C34" s="106">
        <v>0.35425474639002602</v>
      </c>
      <c r="D34" s="106">
        <v>2.5203265512389202E-3</v>
      </c>
      <c r="E34" s="107"/>
      <c r="F34" s="106">
        <v>0.35430575725354302</v>
      </c>
      <c r="G34" s="106">
        <v>7.4352344485060104E-2</v>
      </c>
      <c r="H34" s="96"/>
      <c r="I34" s="110">
        <f>I23/I14</f>
        <v>0.35405192509367467</v>
      </c>
      <c r="J34" s="110">
        <f>J23/J14</f>
        <v>1</v>
      </c>
      <c r="K34" s="4" t="s">
        <v>197</v>
      </c>
    </row>
    <row r="35" spans="1:11" x14ac:dyDescent="0.25">
      <c r="A35" s="95" t="s">
        <v>178</v>
      </c>
      <c r="B35" s="92" t="s">
        <v>141</v>
      </c>
      <c r="C35" s="106">
        <v>6820.1055288143498</v>
      </c>
      <c r="D35" s="106">
        <v>2.7038018703460698</v>
      </c>
      <c r="E35" s="107"/>
      <c r="F35" s="106">
        <v>6815.1831787316496</v>
      </c>
      <c r="G35" s="106">
        <v>7.7038018703460702</v>
      </c>
      <c r="H35" s="96"/>
      <c r="I35" s="110">
        <f>I8</f>
        <v>6815.1831787316496</v>
      </c>
      <c r="J35" s="110">
        <f>J8</f>
        <v>5</v>
      </c>
      <c r="K35" s="4" t="s">
        <v>195</v>
      </c>
    </row>
    <row r="36" spans="1:11" ht="30" x14ac:dyDescent="0.25">
      <c r="A36" s="95" t="s">
        <v>179</v>
      </c>
      <c r="B36" s="92" t="s">
        <v>142</v>
      </c>
      <c r="C36" s="106">
        <v>0.72068210898734597</v>
      </c>
      <c r="D36" s="106">
        <v>6.5082366472505301E-2</v>
      </c>
      <c r="E36" s="107"/>
      <c r="F36" s="106">
        <v>0.72120263052664202</v>
      </c>
      <c r="G36" s="106">
        <v>2.2841945724521001E-2</v>
      </c>
      <c r="H36" s="96"/>
      <c r="I36" s="110">
        <f>I23/I8</f>
        <v>0.72057141306030581</v>
      </c>
      <c r="J36" s="110">
        <f>J23/J8</f>
        <v>0.86037253173958206</v>
      </c>
      <c r="K36" s="4" t="s">
        <v>208</v>
      </c>
    </row>
    <row r="37" spans="1:11" x14ac:dyDescent="0.25">
      <c r="A37" s="95" t="s">
        <v>180</v>
      </c>
      <c r="B37" s="92" t="s">
        <v>143</v>
      </c>
      <c r="C37" s="106">
        <v>1457.12958811</v>
      </c>
      <c r="D37" s="106">
        <v>1.28323782980442</v>
      </c>
      <c r="E37" s="107"/>
      <c r="F37" s="106">
        <v>1452.2072380273</v>
      </c>
      <c r="G37" s="106">
        <v>6.2832378298044196</v>
      </c>
      <c r="H37" s="96"/>
      <c r="I37" s="110">
        <f>I11-I23</f>
        <v>1456.5091006859984</v>
      </c>
      <c r="J37" s="110">
        <f>J11-J23</f>
        <v>0.69813734130208971</v>
      </c>
      <c r="K37" s="4" t="s">
        <v>195</v>
      </c>
    </row>
    <row r="38" spans="1:11" x14ac:dyDescent="0.25">
      <c r="A38" s="95" t="s">
        <v>181</v>
      </c>
      <c r="B38" s="92" t="s">
        <v>144</v>
      </c>
      <c r="C38" s="106">
        <v>0.459276440415126</v>
      </c>
      <c r="D38" s="106">
        <v>2.08994912109026E-2</v>
      </c>
      <c r="E38" s="107"/>
      <c r="F38" s="106">
        <v>0.45898774750638399</v>
      </c>
      <c r="G38" s="106">
        <v>1</v>
      </c>
      <c r="H38" s="96"/>
      <c r="I38" s="110">
        <f>MIN(I11/I14,1)</f>
        <v>0.45906070219342249</v>
      </c>
      <c r="J38" s="110">
        <f>MIN(J11/J14,1)</f>
        <v>1</v>
      </c>
      <c r="K38" s="4" t="s">
        <v>198</v>
      </c>
    </row>
    <row r="39" spans="1:11" x14ac:dyDescent="0.25">
      <c r="A39" s="95" t="s">
        <v>182</v>
      </c>
      <c r="B39" s="92" t="s">
        <v>145</v>
      </c>
      <c r="C39" s="106">
        <v>4915.1280360221899</v>
      </c>
      <c r="D39" s="106">
        <v>0.175969824194908</v>
      </c>
      <c r="E39" s="107"/>
      <c r="F39" s="106">
        <v>4915.1280360221899</v>
      </c>
      <c r="G39" s="106">
        <v>0.175969824194908</v>
      </c>
      <c r="H39" s="96"/>
      <c r="I39" s="110">
        <f>I23</f>
        <v>4910.8261733634918</v>
      </c>
      <c r="J39" s="110">
        <f>J23</f>
        <v>4.3018626586979103</v>
      </c>
      <c r="K39" s="4" t="s">
        <v>195</v>
      </c>
    </row>
    <row r="40" spans="1:11" x14ac:dyDescent="0.25">
      <c r="A40" s="95" t="s">
        <v>183</v>
      </c>
      <c r="B40" s="92" t="s">
        <v>146</v>
      </c>
      <c r="C40" s="106">
        <v>1</v>
      </c>
      <c r="D40" s="106">
        <v>1</v>
      </c>
      <c r="E40" s="107"/>
      <c r="F40" s="106">
        <v>1</v>
      </c>
      <c r="G40" s="106">
        <v>0.36640744220687399</v>
      </c>
      <c r="H40" s="96"/>
      <c r="I40" s="110">
        <f>MIN(I14/I11,1)</f>
        <v>1</v>
      </c>
      <c r="J40" s="110">
        <f>MIN(J14/J11,1)</f>
        <v>0.86037253173958206</v>
      </c>
      <c r="K40" s="4" t="s">
        <v>201</v>
      </c>
    </row>
    <row r="41" spans="1:11" ht="15.75" customHeight="1" x14ac:dyDescent="0.25">
      <c r="A41" s="95" t="s">
        <v>184</v>
      </c>
      <c r="B41" s="92" t="s">
        <v>147</v>
      </c>
      <c r="C41" s="106">
        <v>0.23509354119756001</v>
      </c>
      <c r="D41" s="106">
        <v>0.49235637242661801</v>
      </c>
      <c r="E41" s="107"/>
      <c r="F41" s="106">
        <v>0.23570258284374401</v>
      </c>
      <c r="G41" s="106">
        <v>0.16533235714033701</v>
      </c>
      <c r="H41" s="96"/>
      <c r="I41" s="110">
        <f>I9/(I9+I37)</f>
        <v>0.23517014058799307</v>
      </c>
      <c r="J41" s="110">
        <f>J9/(J9+J37)</f>
        <v>0</v>
      </c>
      <c r="K41" s="4" t="s">
        <v>195</v>
      </c>
    </row>
    <row r="42" spans="1:11" x14ac:dyDescent="0.25">
      <c r="A42" s="95" t="s">
        <v>185</v>
      </c>
      <c r="B42" s="92" t="s">
        <v>148</v>
      </c>
      <c r="C42" s="106">
        <v>0.19708936402419</v>
      </c>
      <c r="D42" s="106">
        <v>0.52108661288839098</v>
      </c>
      <c r="E42" s="107"/>
      <c r="F42" s="106">
        <v>0.19710493439478199</v>
      </c>
      <c r="G42" s="106">
        <v>0.56152392475221202</v>
      </c>
      <c r="H42" s="96"/>
      <c r="I42" s="110">
        <f>I19/I33</f>
        <v>0.19702747991637756</v>
      </c>
      <c r="J42" s="110">
        <v>0</v>
      </c>
      <c r="K42" s="4" t="s">
        <v>200</v>
      </c>
    </row>
    <row r="43" spans="1:11" x14ac:dyDescent="0.25">
      <c r="A43" s="93"/>
      <c r="B43" s="93"/>
      <c r="D43" s="100"/>
      <c r="E43" s="100"/>
      <c r="F43" s="101"/>
      <c r="G43" s="101"/>
      <c r="I43" s="101"/>
      <c r="J43" s="101"/>
      <c r="K43" s="4"/>
    </row>
    <row r="44" spans="1:11" x14ac:dyDescent="0.25">
      <c r="A44" s="93"/>
      <c r="B44" s="93"/>
      <c r="D44" s="100"/>
      <c r="E44" s="100"/>
      <c r="F44" s="101"/>
      <c r="G44" s="101"/>
      <c r="I44" s="101"/>
      <c r="J44" s="101"/>
      <c r="K44" s="4"/>
    </row>
    <row r="45" spans="1:11" x14ac:dyDescent="0.25">
      <c r="A45" s="93"/>
      <c r="B45" s="93"/>
      <c r="D45" s="100"/>
      <c r="E45" s="100"/>
      <c r="F45" s="101"/>
      <c r="G45" s="101"/>
      <c r="I45" s="145">
        <v>0.35405192509367467</v>
      </c>
      <c r="J45" s="101"/>
      <c r="K45" s="4"/>
    </row>
    <row r="46" spans="1:11" x14ac:dyDescent="0.25">
      <c r="A46" s="93"/>
      <c r="B46" s="93"/>
      <c r="D46" s="100"/>
      <c r="E46" s="100"/>
      <c r="F46" s="101"/>
      <c r="G46" s="101"/>
      <c r="I46" s="101"/>
      <c r="J46" s="101"/>
    </row>
    <row r="47" spans="1:11" x14ac:dyDescent="0.25">
      <c r="A47" s="93"/>
      <c r="B47" s="93"/>
      <c r="D47" s="100"/>
      <c r="E47" s="100"/>
      <c r="F47" s="101"/>
      <c r="G47" s="101"/>
      <c r="I47" s="101"/>
      <c r="J47" s="101"/>
    </row>
    <row r="48" spans="1:11" x14ac:dyDescent="0.25">
      <c r="A48" s="93"/>
      <c r="B48" s="93"/>
      <c r="D48" s="100"/>
      <c r="E48" s="100"/>
      <c r="F48" s="101"/>
      <c r="G48" s="101"/>
      <c r="I48" s="101"/>
      <c r="J48" s="101"/>
    </row>
    <row r="49" spans="1:10" x14ac:dyDescent="0.25">
      <c r="A49" s="93"/>
      <c r="B49" s="93"/>
      <c r="D49" s="100"/>
      <c r="E49" s="100"/>
      <c r="F49" s="101"/>
      <c r="G49" s="101"/>
      <c r="I49" s="101"/>
      <c r="J49" s="101"/>
    </row>
  </sheetData>
  <mergeCells count="6">
    <mergeCell ref="I2:J2"/>
    <mergeCell ref="I3:J3"/>
    <mergeCell ref="C2:D2"/>
    <mergeCell ref="C3:D3"/>
    <mergeCell ref="F2:G2"/>
    <mergeCell ref="F3:G3"/>
  </mergeCells>
  <pageMargins left="0.7" right="0.7" top="0.75" bottom="0.75" header="0.3" footer="0.3"/>
  <pageSetup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
  <sheetViews>
    <sheetView workbookViewId="0">
      <selection activeCell="A7" sqref="A7"/>
    </sheetView>
  </sheetViews>
  <sheetFormatPr defaultRowHeight="15" x14ac:dyDescent="0.25"/>
  <sheetData>
    <row r="1" spans="1:38" x14ac:dyDescent="0.25">
      <c r="A1" t="s">
        <v>149</v>
      </c>
      <c r="B1" t="s">
        <v>113</v>
      </c>
      <c r="C1" t="s">
        <v>114</v>
      </c>
      <c r="D1" t="s">
        <v>115</v>
      </c>
      <c r="E1" t="s">
        <v>116</v>
      </c>
      <c r="F1" t="s">
        <v>150</v>
      </c>
      <c r="G1" t="s">
        <v>117</v>
      </c>
      <c r="H1" t="s">
        <v>118</v>
      </c>
      <c r="I1" t="s">
        <v>119</v>
      </c>
      <c r="J1" t="s">
        <v>120</v>
      </c>
      <c r="K1" t="s">
        <v>121</v>
      </c>
      <c r="L1" t="s">
        <v>122</v>
      </c>
      <c r="M1" t="s">
        <v>123</v>
      </c>
      <c r="N1" t="s">
        <v>124</v>
      </c>
      <c r="O1" t="s">
        <v>125</v>
      </c>
      <c r="P1" t="s">
        <v>126</v>
      </c>
      <c r="Q1" t="s">
        <v>127</v>
      </c>
      <c r="R1" t="s">
        <v>128</v>
      </c>
      <c r="S1" t="s">
        <v>129</v>
      </c>
      <c r="T1" t="s">
        <v>130</v>
      </c>
      <c r="U1" t="s">
        <v>131</v>
      </c>
      <c r="V1" t="s">
        <v>132</v>
      </c>
      <c r="W1" t="s">
        <v>133</v>
      </c>
      <c r="X1" t="s">
        <v>134</v>
      </c>
      <c r="Y1" t="s">
        <v>135</v>
      </c>
      <c r="Z1" t="s">
        <v>136</v>
      </c>
      <c r="AA1" t="s">
        <v>137</v>
      </c>
      <c r="AB1" t="s">
        <v>138</v>
      </c>
      <c r="AC1" t="s">
        <v>139</v>
      </c>
      <c r="AD1" t="s">
        <v>140</v>
      </c>
      <c r="AE1" t="s">
        <v>141</v>
      </c>
      <c r="AF1" t="s">
        <v>142</v>
      </c>
      <c r="AG1" t="s">
        <v>143</v>
      </c>
      <c r="AH1" t="s">
        <v>144</v>
      </c>
      <c r="AI1" t="s">
        <v>145</v>
      </c>
      <c r="AJ1" t="s">
        <v>146</v>
      </c>
      <c r="AK1" t="s">
        <v>147</v>
      </c>
      <c r="AL1" t="s">
        <v>148</v>
      </c>
    </row>
    <row r="2" spans="1:38" x14ac:dyDescent="0.25">
      <c r="A2">
        <v>3001</v>
      </c>
      <c r="B2">
        <v>6555.2209768979201</v>
      </c>
      <c r="C2">
        <v>259.96220183372498</v>
      </c>
      <c r="D2">
        <v>6815.1831787316496</v>
      </c>
      <c r="E2">
        <v>447.84790468215903</v>
      </c>
      <c r="F2">
        <v>0</v>
      </c>
      <c r="G2">
        <v>6367.3352740494902</v>
      </c>
      <c r="H2">
        <v>9849.3838589470797</v>
      </c>
      <c r="I2">
        <v>4020.9719428585199</v>
      </c>
      <c r="J2">
        <v>13870.355801805599</v>
      </c>
      <c r="K2">
        <v>0.127269521355629</v>
      </c>
      <c r="L2">
        <v>0.87273047864437103</v>
      </c>
      <c r="M2">
        <v>1253.5263693760501</v>
      </c>
      <c r="N2">
        <v>511.74717455201744</v>
      </c>
      <c r="O2">
        <v>1765.2735439280675</v>
      </c>
      <c r="P2">
        <v>8595.8574895710299</v>
      </c>
      <c r="Q2">
        <v>3509.2247683065025</v>
      </c>
      <c r="R2">
        <v>12105.082257877533</v>
      </c>
      <c r="S2">
        <v>4910.8261733634918</v>
      </c>
      <c r="T2">
        <v>0.40568300724827461</v>
      </c>
      <c r="U2">
        <v>3487.1933162467799</v>
      </c>
      <c r="V2">
        <v>1423.6328571167116</v>
      </c>
      <c r="W2">
        <v>4910.8261733634918</v>
      </c>
      <c r="X2">
        <v>5108.6641733242504</v>
      </c>
      <c r="Y2">
        <v>2085.5919111897911</v>
      </c>
      <c r="Z2">
        <v>7194.2560845140415</v>
      </c>
      <c r="AA2">
        <v>6362.1905427003003</v>
      </c>
      <c r="AB2">
        <v>2597.3390857418085</v>
      </c>
      <c r="AC2">
        <v>8959.5296284421092</v>
      </c>
      <c r="AD2">
        <v>0.35405192509367467</v>
      </c>
      <c r="AE2">
        <v>6815.1831787316496</v>
      </c>
      <c r="AF2">
        <v>0.72057141306030581</v>
      </c>
      <c r="AG2">
        <v>1456.5091006859984</v>
      </c>
      <c r="AH2">
        <v>0.45906070219342249</v>
      </c>
      <c r="AI2">
        <v>4910.8261733634918</v>
      </c>
      <c r="AJ2">
        <v>1</v>
      </c>
      <c r="AK2">
        <v>0.23517014058799307</v>
      </c>
      <c r="AL2">
        <v>0.19702747991637756</v>
      </c>
    </row>
    <row r="3" spans="1:38" x14ac:dyDescent="0.25">
      <c r="A3">
        <v>3007</v>
      </c>
      <c r="B3">
        <v>5</v>
      </c>
      <c r="C3">
        <v>0</v>
      </c>
      <c r="D3">
        <v>5</v>
      </c>
      <c r="E3">
        <v>0</v>
      </c>
      <c r="F3">
        <v>0</v>
      </c>
      <c r="G3">
        <v>5</v>
      </c>
      <c r="H3">
        <v>2.0972123774479101</v>
      </c>
      <c r="I3">
        <v>2.2046502812500002</v>
      </c>
      <c r="J3">
        <v>4.3018626586979103</v>
      </c>
      <c r="K3">
        <v>0</v>
      </c>
      <c r="L3">
        <v>1</v>
      </c>
      <c r="M3">
        <v>0</v>
      </c>
      <c r="N3">
        <v>0</v>
      </c>
      <c r="O3">
        <v>0</v>
      </c>
      <c r="P3">
        <v>2.0972123774479101</v>
      </c>
      <c r="Q3">
        <v>2.2046502812500002</v>
      </c>
      <c r="R3">
        <v>4.3018626586979103</v>
      </c>
      <c r="S3">
        <v>4.3018626586979103</v>
      </c>
      <c r="T3">
        <v>1</v>
      </c>
      <c r="U3">
        <v>2.0972123774479101</v>
      </c>
      <c r="V3">
        <v>2.2046502812500002</v>
      </c>
      <c r="W3">
        <v>4.3018626586979103</v>
      </c>
      <c r="X3">
        <v>0</v>
      </c>
      <c r="Y3">
        <v>0</v>
      </c>
      <c r="Z3">
        <v>0</v>
      </c>
      <c r="AA3">
        <v>0</v>
      </c>
      <c r="AB3">
        <v>0</v>
      </c>
      <c r="AC3">
        <v>0</v>
      </c>
      <c r="AD3">
        <v>1</v>
      </c>
      <c r="AE3">
        <v>5</v>
      </c>
      <c r="AF3">
        <v>0.86037253173958206</v>
      </c>
      <c r="AG3">
        <v>0.69813734130208971</v>
      </c>
      <c r="AH3">
        <v>1</v>
      </c>
      <c r="AI3">
        <v>4.3018626586979103</v>
      </c>
      <c r="AJ3">
        <v>0.86037253173958206</v>
      </c>
      <c r="AK3">
        <v>0</v>
      </c>
      <c r="AL3">
        <v>0</v>
      </c>
    </row>
    <row r="6" spans="1:38" x14ac:dyDescent="0.25">
      <c r="A6"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10" workbookViewId="0">
      <selection activeCell="J5" sqref="J5"/>
    </sheetView>
  </sheetViews>
  <sheetFormatPr defaultRowHeight="15" x14ac:dyDescent="0.25"/>
  <cols>
    <col min="1" max="1" width="8.42578125" customWidth="1"/>
    <col min="2" max="2" width="12.85546875" customWidth="1"/>
    <col min="3" max="3" width="11.140625" customWidth="1"/>
    <col min="4" max="4" width="8.5703125" customWidth="1"/>
    <col min="5" max="5" width="13.140625" customWidth="1"/>
    <col min="6" max="6" width="2.28515625" customWidth="1"/>
    <col min="9" max="9" width="11.28515625" customWidth="1"/>
    <col min="12" max="12" width="62" customWidth="1"/>
    <col min="13" max="13" width="20" customWidth="1"/>
    <col min="14" max="14" width="32.28515625" customWidth="1"/>
  </cols>
  <sheetData>
    <row r="1" spans="1:14" x14ac:dyDescent="0.25">
      <c r="A1" t="s">
        <v>216</v>
      </c>
    </row>
    <row r="3" spans="1:14" x14ac:dyDescent="0.25">
      <c r="A3" t="s">
        <v>213</v>
      </c>
      <c r="G3" t="s">
        <v>214</v>
      </c>
      <c r="M3" t="s">
        <v>215</v>
      </c>
    </row>
    <row r="4" spans="1:14" ht="45" x14ac:dyDescent="0.25">
      <c r="A4" s="137" t="s">
        <v>210</v>
      </c>
      <c r="B4" s="137" t="s">
        <v>149</v>
      </c>
      <c r="C4" s="137" t="s">
        <v>211</v>
      </c>
      <c r="D4" s="137" t="s">
        <v>212</v>
      </c>
      <c r="E4" s="137" t="s">
        <v>121</v>
      </c>
      <c r="F4" s="23"/>
      <c r="G4" s="137" t="s">
        <v>210</v>
      </c>
      <c r="H4" s="137" t="s">
        <v>149</v>
      </c>
      <c r="I4" s="137" t="s">
        <v>211</v>
      </c>
      <c r="J4" s="137" t="s">
        <v>212</v>
      </c>
      <c r="K4" s="137" t="s">
        <v>121</v>
      </c>
      <c r="L4" s="138" t="s">
        <v>194</v>
      </c>
      <c r="M4" s="4">
        <v>10001</v>
      </c>
      <c r="N4" s="4" t="s">
        <v>19</v>
      </c>
    </row>
    <row r="5" spans="1:14" x14ac:dyDescent="0.25">
      <c r="A5" s="133">
        <v>10003</v>
      </c>
      <c r="B5" s="133">
        <v>3001</v>
      </c>
      <c r="C5" s="135">
        <v>207.16828006505966</v>
      </c>
      <c r="D5" s="135">
        <v>0.35430575725354319</v>
      </c>
      <c r="E5" s="135">
        <v>0.19710493439478224</v>
      </c>
      <c r="F5" s="23"/>
      <c r="G5" s="133">
        <f>A5</f>
        <v>10003</v>
      </c>
      <c r="H5" s="133">
        <f t="shared" ref="H5:K20" si="0">B5</f>
        <v>3001</v>
      </c>
      <c r="I5" s="139">
        <f>C5-I33</f>
        <v>206.92331892269854</v>
      </c>
      <c r="J5" s="139">
        <f>'Commodity Balances'!I$34</f>
        <v>0.35405192509367467</v>
      </c>
      <c r="K5" s="139">
        <f>'Commodity Balances'!I$15</f>
        <v>0.127269521355629</v>
      </c>
      <c r="L5" t="s">
        <v>224</v>
      </c>
      <c r="M5" s="3">
        <v>10002</v>
      </c>
      <c r="N5" s="3" t="s">
        <v>27</v>
      </c>
    </row>
    <row r="6" spans="1:14" x14ac:dyDescent="0.25">
      <c r="A6" s="133">
        <v>10001</v>
      </c>
      <c r="B6" s="133">
        <v>3001</v>
      </c>
      <c r="C6" s="135">
        <v>127.260473549366</v>
      </c>
      <c r="D6" s="135">
        <v>0.35430575725354319</v>
      </c>
      <c r="E6" s="135">
        <v>0.19710493439478224</v>
      </c>
      <c r="F6" s="23"/>
      <c r="G6" s="133">
        <f t="shared" ref="G6:G39" si="1">A6</f>
        <v>10001</v>
      </c>
      <c r="H6" s="133">
        <f t="shared" si="0"/>
        <v>3001</v>
      </c>
      <c r="I6" s="139">
        <f>C6-I23</f>
        <v>127.01551240700489</v>
      </c>
      <c r="J6" s="139">
        <f>'Commodity Balances'!I$34</f>
        <v>0.35405192509367467</v>
      </c>
      <c r="K6" s="139">
        <f>'Commodity Balances'!I$15</f>
        <v>0.127269521355629</v>
      </c>
      <c r="L6" t="s">
        <v>224</v>
      </c>
      <c r="M6" s="3">
        <v>10003</v>
      </c>
      <c r="N6" s="3" t="s">
        <v>18</v>
      </c>
    </row>
    <row r="7" spans="1:14" x14ac:dyDescent="0.25">
      <c r="A7" s="133">
        <v>11003</v>
      </c>
      <c r="B7" s="133">
        <v>3001</v>
      </c>
      <c r="C7" s="135">
        <v>0</v>
      </c>
      <c r="D7" s="135">
        <v>0.35430575725354319</v>
      </c>
      <c r="E7" s="135">
        <v>0.19710493439478224</v>
      </c>
      <c r="F7" s="23"/>
      <c r="G7" s="133">
        <f t="shared" si="1"/>
        <v>11003</v>
      </c>
      <c r="H7" s="133">
        <f t="shared" si="0"/>
        <v>3001</v>
      </c>
      <c r="I7" s="135">
        <f t="shared" si="0"/>
        <v>0</v>
      </c>
      <c r="J7" s="139">
        <f>'Commodity Balances'!I$34</f>
        <v>0.35405192509367467</v>
      </c>
      <c r="K7" s="139">
        <f>'Commodity Balances'!I$15</f>
        <v>0.127269521355629</v>
      </c>
      <c r="M7" s="3">
        <v>10004</v>
      </c>
      <c r="N7" s="3" t="s">
        <v>26</v>
      </c>
    </row>
    <row r="8" spans="1:14" x14ac:dyDescent="0.25">
      <c r="A8" s="133">
        <v>11002</v>
      </c>
      <c r="B8" s="133">
        <v>3001</v>
      </c>
      <c r="C8" s="135">
        <v>0.10723274946212769</v>
      </c>
      <c r="D8" s="135">
        <v>0.35430575725354319</v>
      </c>
      <c r="E8" s="135">
        <v>0.19710493439478224</v>
      </c>
      <c r="F8" s="23"/>
      <c r="G8" s="133">
        <f t="shared" si="1"/>
        <v>11002</v>
      </c>
      <c r="H8" s="133">
        <f t="shared" si="0"/>
        <v>3001</v>
      </c>
      <c r="I8" s="135">
        <f t="shared" si="0"/>
        <v>0.10723274946212769</v>
      </c>
      <c r="J8" s="139">
        <f>'Commodity Balances'!I$34</f>
        <v>0.35405192509367467</v>
      </c>
      <c r="K8" s="139">
        <f>'Commodity Balances'!I$15</f>
        <v>0.127269521355629</v>
      </c>
      <c r="M8" s="3">
        <v>10005</v>
      </c>
      <c r="N8" s="3" t="s">
        <v>29</v>
      </c>
    </row>
    <row r="9" spans="1:14" x14ac:dyDescent="0.25">
      <c r="A9" s="133">
        <v>14002</v>
      </c>
      <c r="B9" s="133">
        <v>3001</v>
      </c>
      <c r="C9" s="135">
        <v>83.723576620221138</v>
      </c>
      <c r="D9" s="135">
        <v>0.35430575725354319</v>
      </c>
      <c r="E9" s="135">
        <v>0.19710493439478224</v>
      </c>
      <c r="F9" s="23"/>
      <c r="G9" s="133">
        <f t="shared" si="1"/>
        <v>14002</v>
      </c>
      <c r="H9" s="133">
        <f t="shared" si="0"/>
        <v>3001</v>
      </c>
      <c r="I9" s="135">
        <f t="shared" si="0"/>
        <v>83.723576620221138</v>
      </c>
      <c r="J9" s="139">
        <f>'Commodity Balances'!I$34</f>
        <v>0.35405192509367467</v>
      </c>
      <c r="K9" s="139">
        <f>'Commodity Balances'!I$15</f>
        <v>0.127269521355629</v>
      </c>
      <c r="M9" s="3">
        <v>10006</v>
      </c>
      <c r="N9" s="3" t="s">
        <v>30</v>
      </c>
    </row>
    <row r="10" spans="1:14" x14ac:dyDescent="0.25">
      <c r="A10" s="133">
        <v>14001</v>
      </c>
      <c r="B10" s="133">
        <v>3001</v>
      </c>
      <c r="C10" s="135">
        <v>0</v>
      </c>
      <c r="D10" s="135">
        <v>0.35430575725354319</v>
      </c>
      <c r="E10" s="135">
        <v>0.19710493439478224</v>
      </c>
      <c r="F10" s="23"/>
      <c r="G10" s="133">
        <f t="shared" si="1"/>
        <v>14001</v>
      </c>
      <c r="H10" s="133">
        <f t="shared" si="0"/>
        <v>3001</v>
      </c>
      <c r="I10" s="135">
        <f t="shared" si="0"/>
        <v>0</v>
      </c>
      <c r="J10" s="139">
        <f>'Commodity Balances'!I$34</f>
        <v>0.35405192509367467</v>
      </c>
      <c r="K10" s="139">
        <f>'Commodity Balances'!I$15</f>
        <v>0.127269521355629</v>
      </c>
      <c r="M10" s="3">
        <v>10007</v>
      </c>
      <c r="N10" s="3" t="s">
        <v>25</v>
      </c>
    </row>
    <row r="11" spans="1:14" x14ac:dyDescent="0.25">
      <c r="A11" s="133">
        <v>12002</v>
      </c>
      <c r="B11" s="133">
        <v>3001</v>
      </c>
      <c r="C11" s="135">
        <v>21.881393909454346</v>
      </c>
      <c r="D11" s="135">
        <v>0.35430575725354319</v>
      </c>
      <c r="E11" s="135">
        <v>0.19710493439478224</v>
      </c>
      <c r="F11" s="23"/>
      <c r="G11" s="133">
        <f t="shared" si="1"/>
        <v>12002</v>
      </c>
      <c r="H11" s="133">
        <f t="shared" si="0"/>
        <v>3001</v>
      </c>
      <c r="I11" s="135">
        <f t="shared" si="0"/>
        <v>21.881393909454346</v>
      </c>
      <c r="J11" s="139">
        <f>'Commodity Balances'!I$34</f>
        <v>0.35405192509367467</v>
      </c>
      <c r="K11" s="139">
        <f>'Commodity Balances'!I$15</f>
        <v>0.127269521355629</v>
      </c>
      <c r="M11" s="3">
        <v>10008</v>
      </c>
      <c r="N11" s="3" t="s">
        <v>34</v>
      </c>
    </row>
    <row r="12" spans="1:14" x14ac:dyDescent="0.25">
      <c r="A12" s="133">
        <v>10007</v>
      </c>
      <c r="B12" s="133">
        <v>3001</v>
      </c>
      <c r="C12" s="135">
        <v>509.86558997631073</v>
      </c>
      <c r="D12" s="135">
        <v>0.35430575725354319</v>
      </c>
      <c r="E12" s="135">
        <v>0.19710493439478224</v>
      </c>
      <c r="F12" s="23"/>
      <c r="G12" s="133">
        <f t="shared" si="1"/>
        <v>10007</v>
      </c>
      <c r="H12" s="133">
        <f t="shared" si="0"/>
        <v>3001</v>
      </c>
      <c r="I12" s="139">
        <f>C12-I24</f>
        <v>509.62062883394964</v>
      </c>
      <c r="J12" s="139">
        <f>'Commodity Balances'!I$34</f>
        <v>0.35405192509367467</v>
      </c>
      <c r="K12" s="139">
        <f>'Commodity Balances'!I$15</f>
        <v>0.127269521355629</v>
      </c>
      <c r="L12" t="s">
        <v>224</v>
      </c>
      <c r="M12" s="3">
        <v>10009</v>
      </c>
      <c r="N12" s="3" t="s">
        <v>33</v>
      </c>
    </row>
    <row r="13" spans="1:14" x14ac:dyDescent="0.25">
      <c r="A13" s="133">
        <v>10004</v>
      </c>
      <c r="B13" s="133">
        <v>3001</v>
      </c>
      <c r="C13" s="135">
        <v>215.76814514398575</v>
      </c>
      <c r="D13" s="135">
        <v>0.35430575725354319</v>
      </c>
      <c r="E13" s="135">
        <v>0.19710493439478224</v>
      </c>
      <c r="F13" s="23"/>
      <c r="G13" s="133">
        <f t="shared" si="1"/>
        <v>10004</v>
      </c>
      <c r="H13" s="133">
        <f t="shared" si="0"/>
        <v>3001</v>
      </c>
      <c r="I13" s="139">
        <f>C13-I27</f>
        <v>215.52318400162463</v>
      </c>
      <c r="J13" s="139">
        <f>'Commodity Balances'!I$34</f>
        <v>0.35405192509367467</v>
      </c>
      <c r="K13" s="139">
        <f>'Commodity Balances'!I$15</f>
        <v>0.127269521355629</v>
      </c>
      <c r="L13" t="s">
        <v>224</v>
      </c>
      <c r="M13" s="3">
        <v>11001</v>
      </c>
      <c r="N13" s="3" t="s">
        <v>31</v>
      </c>
    </row>
    <row r="14" spans="1:14" x14ac:dyDescent="0.25">
      <c r="A14" s="133">
        <v>10002</v>
      </c>
      <c r="B14" s="133">
        <v>3001</v>
      </c>
      <c r="C14" s="135">
        <v>83.718933343887329</v>
      </c>
      <c r="D14" s="135">
        <v>0.35430575725354319</v>
      </c>
      <c r="E14" s="135">
        <v>0.19710493439478224</v>
      </c>
      <c r="F14" s="23"/>
      <c r="G14" s="133">
        <f t="shared" si="1"/>
        <v>10002</v>
      </c>
      <c r="H14" s="133">
        <f t="shared" si="0"/>
        <v>3001</v>
      </c>
      <c r="I14" s="139">
        <f>C14-I37</f>
        <v>83.473972201526223</v>
      </c>
      <c r="J14" s="139">
        <f>'Commodity Balances'!I$34</f>
        <v>0.35405192509367467</v>
      </c>
      <c r="K14" s="139">
        <f>'Commodity Balances'!I$15</f>
        <v>0.127269521355629</v>
      </c>
      <c r="L14" t="s">
        <v>224</v>
      </c>
      <c r="M14" s="3">
        <v>11002</v>
      </c>
      <c r="N14" s="3" t="s">
        <v>21</v>
      </c>
    </row>
    <row r="15" spans="1:14" x14ac:dyDescent="0.25">
      <c r="A15" s="133">
        <v>12003</v>
      </c>
      <c r="B15" s="133">
        <v>3001</v>
      </c>
      <c r="C15" s="135">
        <v>0</v>
      </c>
      <c r="D15" s="135">
        <v>0.35430575725354319</v>
      </c>
      <c r="E15" s="135">
        <v>0.19710493439478224</v>
      </c>
      <c r="F15" s="23"/>
      <c r="G15" s="133">
        <f t="shared" si="1"/>
        <v>12003</v>
      </c>
      <c r="H15" s="133">
        <f t="shared" si="0"/>
        <v>3001</v>
      </c>
      <c r="I15" s="135">
        <f t="shared" si="0"/>
        <v>0</v>
      </c>
      <c r="J15" s="139">
        <f>'Commodity Balances'!I$34</f>
        <v>0.35405192509367467</v>
      </c>
      <c r="K15" s="139">
        <f>'Commodity Balances'!I$15</f>
        <v>0.127269521355629</v>
      </c>
      <c r="M15" s="3">
        <v>11003</v>
      </c>
      <c r="N15" s="3" t="s">
        <v>20</v>
      </c>
    </row>
    <row r="16" spans="1:14" x14ac:dyDescent="0.25">
      <c r="A16" s="133">
        <v>10005</v>
      </c>
      <c r="B16" s="133">
        <v>3001</v>
      </c>
      <c r="C16" s="135">
        <v>324.8025084733963</v>
      </c>
      <c r="D16" s="135">
        <v>0.35430575725354319</v>
      </c>
      <c r="E16" s="135">
        <v>0.19710493439478224</v>
      </c>
      <c r="F16" s="23"/>
      <c r="G16" s="133">
        <f t="shared" si="1"/>
        <v>10005</v>
      </c>
      <c r="H16" s="133">
        <f t="shared" si="0"/>
        <v>3001</v>
      </c>
      <c r="I16" s="139">
        <f>C16-I36</f>
        <v>324.55754733103521</v>
      </c>
      <c r="J16" s="139">
        <f>'Commodity Balances'!I$34</f>
        <v>0.35405192509367467</v>
      </c>
      <c r="K16" s="139">
        <f>'Commodity Balances'!I$15</f>
        <v>0.127269521355629</v>
      </c>
      <c r="L16" t="s">
        <v>224</v>
      </c>
      <c r="M16" s="3">
        <v>12001</v>
      </c>
      <c r="N16" s="3" t="s">
        <v>32</v>
      </c>
    </row>
    <row r="17" spans="1:14" x14ac:dyDescent="0.25">
      <c r="A17" s="133">
        <v>10006</v>
      </c>
      <c r="B17" s="133">
        <v>3001</v>
      </c>
      <c r="C17" s="135">
        <v>573.09610533714294</v>
      </c>
      <c r="D17" s="135">
        <v>0.35430575725354319</v>
      </c>
      <c r="E17" s="135">
        <v>0.19710493439478224</v>
      </c>
      <c r="F17" s="23"/>
      <c r="G17" s="133">
        <f t="shared" si="1"/>
        <v>10006</v>
      </c>
      <c r="H17" s="133">
        <f t="shared" si="0"/>
        <v>3001</v>
      </c>
      <c r="I17" s="139">
        <f>C17-I39</f>
        <v>572.8511441947818</v>
      </c>
      <c r="J17" s="139">
        <f>'Commodity Balances'!I$34</f>
        <v>0.35405192509367467</v>
      </c>
      <c r="K17" s="139">
        <f>'Commodity Balances'!I$15</f>
        <v>0.127269521355629</v>
      </c>
      <c r="L17" t="s">
        <v>224</v>
      </c>
      <c r="M17" s="3">
        <v>12002</v>
      </c>
      <c r="N17" s="3" t="s">
        <v>24</v>
      </c>
    </row>
    <row r="18" spans="1:14" x14ac:dyDescent="0.25">
      <c r="A18" s="133">
        <v>11001</v>
      </c>
      <c r="B18" s="133">
        <v>3001</v>
      </c>
      <c r="C18" s="135">
        <v>0</v>
      </c>
      <c r="D18" s="135">
        <v>0.35430575725354319</v>
      </c>
      <c r="E18" s="135">
        <v>0.19710493439478224</v>
      </c>
      <c r="F18" s="23"/>
      <c r="G18" s="133">
        <f t="shared" si="1"/>
        <v>11001</v>
      </c>
      <c r="H18" s="133">
        <f t="shared" si="0"/>
        <v>3001</v>
      </c>
      <c r="I18" s="135">
        <f t="shared" si="0"/>
        <v>0</v>
      </c>
      <c r="J18" s="139">
        <f>'Commodity Balances'!I$34</f>
        <v>0.35405192509367467</v>
      </c>
      <c r="K18" s="139">
        <f>'Commodity Balances'!I$15</f>
        <v>0.127269521355629</v>
      </c>
      <c r="M18" s="3">
        <v>12003</v>
      </c>
      <c r="N18" s="3" t="s">
        <v>28</v>
      </c>
    </row>
    <row r="19" spans="1:14" x14ac:dyDescent="0.25">
      <c r="A19" s="133">
        <v>12001</v>
      </c>
      <c r="B19" s="133">
        <v>3001</v>
      </c>
      <c r="C19" s="135">
        <v>204.13951516151428</v>
      </c>
      <c r="D19" s="135">
        <v>0.35430575725354319</v>
      </c>
      <c r="E19" s="135">
        <v>0.19710493439478224</v>
      </c>
      <c r="F19" s="23"/>
      <c r="G19" s="133">
        <f t="shared" si="1"/>
        <v>12001</v>
      </c>
      <c r="H19" s="133">
        <f t="shared" si="0"/>
        <v>3001</v>
      </c>
      <c r="I19" s="135">
        <f t="shared" si="0"/>
        <v>204.13951516151428</v>
      </c>
      <c r="J19" s="139">
        <f>'Commodity Balances'!I$34</f>
        <v>0.35405192509367467</v>
      </c>
      <c r="K19" s="139">
        <f>'Commodity Balances'!I$15</f>
        <v>0.127269521355629</v>
      </c>
      <c r="M19" s="3">
        <v>14001</v>
      </c>
      <c r="N19" s="3" t="s">
        <v>23</v>
      </c>
    </row>
    <row r="20" spans="1:14" x14ac:dyDescent="0.25">
      <c r="A20" s="133">
        <v>10009</v>
      </c>
      <c r="B20" s="133">
        <v>3001</v>
      </c>
      <c r="C20" s="135">
        <v>928.64172506332397</v>
      </c>
      <c r="D20" s="135">
        <v>0.35430575725354319</v>
      </c>
      <c r="E20" s="135">
        <v>0.19710493439478224</v>
      </c>
      <c r="F20" s="23"/>
      <c r="G20" s="133">
        <f t="shared" si="1"/>
        <v>10009</v>
      </c>
      <c r="H20" s="133">
        <f t="shared" si="0"/>
        <v>3001</v>
      </c>
      <c r="I20" s="139">
        <f>C20-I30</f>
        <v>928.39676392096283</v>
      </c>
      <c r="J20" s="139">
        <f>'Commodity Balances'!I$34</f>
        <v>0.35405192509367467</v>
      </c>
      <c r="K20" s="139">
        <f>'Commodity Balances'!I$15</f>
        <v>0.127269521355629</v>
      </c>
      <c r="L20" t="s">
        <v>224</v>
      </c>
      <c r="M20" s="3">
        <v>14002</v>
      </c>
      <c r="N20" s="3" t="s">
        <v>22</v>
      </c>
    </row>
    <row r="21" spans="1:14" x14ac:dyDescent="0.25">
      <c r="A21" s="133">
        <v>10008</v>
      </c>
      <c r="B21" s="133">
        <v>3001</v>
      </c>
      <c r="C21" s="135">
        <v>743.00311374664307</v>
      </c>
      <c r="D21" s="135">
        <v>0.35430575725354319</v>
      </c>
      <c r="E21" s="135">
        <v>0.19710493439478224</v>
      </c>
      <c r="F21" s="23"/>
      <c r="G21" s="133">
        <f t="shared" si="1"/>
        <v>10008</v>
      </c>
      <c r="H21" s="133">
        <f t="shared" ref="H21:H39" si="2">B21</f>
        <v>3001</v>
      </c>
      <c r="I21" s="139">
        <f>C21-I32</f>
        <v>742.75815260428192</v>
      </c>
      <c r="J21" s="139">
        <f>'Commodity Balances'!I$34</f>
        <v>0.35405192509367467</v>
      </c>
      <c r="K21" s="139">
        <f>'Commodity Balances'!I$15</f>
        <v>0.127269521355629</v>
      </c>
      <c r="L21" t="s">
        <v>224</v>
      </c>
    </row>
    <row r="22" spans="1:14" x14ac:dyDescent="0.25">
      <c r="A22" s="133"/>
      <c r="B22" s="133"/>
      <c r="C22" s="135">
        <f>SUM(C5:C21)</f>
        <v>4023.1765931397676</v>
      </c>
      <c r="D22" s="135"/>
      <c r="E22" s="135"/>
      <c r="F22" s="23"/>
      <c r="G22" s="133"/>
      <c r="H22" s="133"/>
      <c r="I22" s="135">
        <f>SUM(I5:I21)</f>
        <v>4020.9719428585177</v>
      </c>
      <c r="J22" s="135"/>
      <c r="K22" s="135"/>
    </row>
    <row r="23" spans="1:14" x14ac:dyDescent="0.25">
      <c r="A23" s="133">
        <v>10001</v>
      </c>
      <c r="B23" s="133">
        <v>3007</v>
      </c>
      <c r="C23" s="135">
        <v>0</v>
      </c>
      <c r="D23" s="135">
        <v>7.4352344485060062E-2</v>
      </c>
      <c r="E23" s="135">
        <v>0.56152392475221236</v>
      </c>
      <c r="F23" s="23"/>
      <c r="G23" s="133">
        <f t="shared" si="1"/>
        <v>10001</v>
      </c>
      <c r="H23" s="133">
        <f t="shared" si="2"/>
        <v>3007</v>
      </c>
      <c r="I23" s="139">
        <f>N$25</f>
        <v>0.24496114236111113</v>
      </c>
      <c r="J23" s="139">
        <v>1</v>
      </c>
      <c r="K23" s="139">
        <v>0</v>
      </c>
      <c r="L23" s="4" t="s">
        <v>220</v>
      </c>
      <c r="M23" s="140">
        <v>3007</v>
      </c>
      <c r="N23" s="144" t="s">
        <v>223</v>
      </c>
    </row>
    <row r="24" spans="1:14" x14ac:dyDescent="0.25">
      <c r="A24" s="133">
        <v>10007</v>
      </c>
      <c r="B24" s="133">
        <v>3007</v>
      </c>
      <c r="C24" s="135">
        <v>0</v>
      </c>
      <c r="D24" s="135">
        <v>7.4352344485060062E-2</v>
      </c>
      <c r="E24" s="135">
        <v>0.56152392475221236</v>
      </c>
      <c r="F24" s="23"/>
      <c r="G24" s="133">
        <f t="shared" si="1"/>
        <v>10007</v>
      </c>
      <c r="H24" s="133">
        <f t="shared" si="2"/>
        <v>3007</v>
      </c>
      <c r="I24" s="139">
        <f>N$25</f>
        <v>0.24496114236111113</v>
      </c>
      <c r="J24" s="139">
        <v>1</v>
      </c>
      <c r="K24" s="139">
        <v>0</v>
      </c>
      <c r="L24" s="4" t="s">
        <v>220</v>
      </c>
      <c r="M24" s="140" t="s">
        <v>217</v>
      </c>
      <c r="N24" s="143">
        <f>'FHFarm Sales'!G8*50/1000000</f>
        <v>2.2046502812500002</v>
      </c>
    </row>
    <row r="25" spans="1:14" x14ac:dyDescent="0.25">
      <c r="A25" s="133">
        <v>12003</v>
      </c>
      <c r="B25" s="133">
        <v>3007</v>
      </c>
      <c r="C25" s="135">
        <v>0</v>
      </c>
      <c r="D25" s="135">
        <v>7.4352344485060062E-2</v>
      </c>
      <c r="E25" s="135">
        <v>0.56152392475221236</v>
      </c>
      <c r="F25" s="23"/>
      <c r="G25" s="133">
        <f t="shared" si="1"/>
        <v>12003</v>
      </c>
      <c r="H25" s="133">
        <f t="shared" si="2"/>
        <v>3007</v>
      </c>
      <c r="I25" s="139">
        <v>0</v>
      </c>
      <c r="J25" s="139">
        <v>0</v>
      </c>
      <c r="K25" s="139">
        <v>0</v>
      </c>
      <c r="L25" s="4" t="s">
        <v>221</v>
      </c>
      <c r="M25" s="140" t="s">
        <v>218</v>
      </c>
      <c r="N25" s="143">
        <f>N24/9</f>
        <v>0.24496114236111113</v>
      </c>
    </row>
    <row r="26" spans="1:14" x14ac:dyDescent="0.25">
      <c r="A26" s="133">
        <v>14001</v>
      </c>
      <c r="B26" s="133">
        <v>3007</v>
      </c>
      <c r="C26" s="135">
        <v>0</v>
      </c>
      <c r="D26" s="135">
        <v>7.4352344485060062E-2</v>
      </c>
      <c r="E26" s="135">
        <v>0.56152392475221236</v>
      </c>
      <c r="F26" s="23"/>
      <c r="G26" s="133">
        <f t="shared" si="1"/>
        <v>14001</v>
      </c>
      <c r="H26" s="133">
        <f t="shared" si="2"/>
        <v>3007</v>
      </c>
      <c r="I26" s="139">
        <v>0</v>
      </c>
      <c r="J26" s="139">
        <v>0</v>
      </c>
      <c r="K26" s="139">
        <v>0</v>
      </c>
      <c r="L26" s="4" t="s">
        <v>222</v>
      </c>
      <c r="M26" s="141" t="s">
        <v>219</v>
      </c>
      <c r="N26" s="142"/>
    </row>
    <row r="27" spans="1:14" x14ac:dyDescent="0.25">
      <c r="A27" s="133">
        <v>10004</v>
      </c>
      <c r="B27" s="133">
        <v>3007</v>
      </c>
      <c r="C27" s="135">
        <v>0</v>
      </c>
      <c r="D27" s="135">
        <v>7.4352344485060062E-2</v>
      </c>
      <c r="E27" s="135">
        <v>0.56152392475221236</v>
      </c>
      <c r="F27" s="23"/>
      <c r="G27" s="133">
        <f t="shared" si="1"/>
        <v>10004</v>
      </c>
      <c r="H27" s="133">
        <f t="shared" si="2"/>
        <v>3007</v>
      </c>
      <c r="I27" s="139">
        <f>N$25</f>
        <v>0.24496114236111113</v>
      </c>
      <c r="J27" s="139">
        <v>1</v>
      </c>
      <c r="K27" s="139">
        <v>0</v>
      </c>
      <c r="L27" s="4" t="s">
        <v>220</v>
      </c>
    </row>
    <row r="28" spans="1:14" x14ac:dyDescent="0.25">
      <c r="A28" s="133">
        <v>11002</v>
      </c>
      <c r="B28" s="133">
        <v>3007</v>
      </c>
      <c r="C28" s="135">
        <v>0</v>
      </c>
      <c r="D28" s="135">
        <v>7.4352344485060062E-2</v>
      </c>
      <c r="E28" s="135">
        <v>0.56152392475221236</v>
      </c>
      <c r="F28" s="23"/>
      <c r="G28" s="133">
        <f t="shared" si="1"/>
        <v>11002</v>
      </c>
      <c r="H28" s="133">
        <f t="shared" si="2"/>
        <v>3007</v>
      </c>
      <c r="I28" s="139">
        <v>0</v>
      </c>
      <c r="J28" s="139">
        <v>0</v>
      </c>
      <c r="K28" s="139">
        <v>0</v>
      </c>
      <c r="L28" s="4" t="s">
        <v>221</v>
      </c>
    </row>
    <row r="29" spans="1:14" x14ac:dyDescent="0.25">
      <c r="A29" s="133">
        <v>11003</v>
      </c>
      <c r="B29" s="133">
        <v>3007</v>
      </c>
      <c r="C29" s="135">
        <v>0</v>
      </c>
      <c r="D29" s="135">
        <v>7.4352344485060062E-2</v>
      </c>
      <c r="E29" s="135">
        <v>0.56152392475221236</v>
      </c>
      <c r="F29" s="23"/>
      <c r="G29" s="133">
        <f t="shared" si="1"/>
        <v>11003</v>
      </c>
      <c r="H29" s="133">
        <f t="shared" si="2"/>
        <v>3007</v>
      </c>
      <c r="I29" s="139">
        <v>0</v>
      </c>
      <c r="J29" s="139">
        <v>0</v>
      </c>
      <c r="K29" s="139">
        <v>0</v>
      </c>
      <c r="L29" s="4" t="s">
        <v>221</v>
      </c>
    </row>
    <row r="30" spans="1:14" x14ac:dyDescent="0.25">
      <c r="A30" s="133">
        <v>10009</v>
      </c>
      <c r="B30" s="133">
        <v>3007</v>
      </c>
      <c r="C30" s="135">
        <v>0</v>
      </c>
      <c r="D30" s="135">
        <v>7.4352344485060062E-2</v>
      </c>
      <c r="E30" s="135">
        <v>0.56152392475221236</v>
      </c>
      <c r="F30" s="23"/>
      <c r="G30" s="133">
        <f t="shared" si="1"/>
        <v>10009</v>
      </c>
      <c r="H30" s="133">
        <f t="shared" si="2"/>
        <v>3007</v>
      </c>
      <c r="I30" s="139">
        <f>N$25</f>
        <v>0.24496114236111113</v>
      </c>
      <c r="J30" s="139">
        <v>1</v>
      </c>
      <c r="K30" s="139">
        <v>0</v>
      </c>
      <c r="L30" s="4" t="s">
        <v>220</v>
      </c>
    </row>
    <row r="31" spans="1:14" x14ac:dyDescent="0.25">
      <c r="A31" s="133">
        <v>11001</v>
      </c>
      <c r="B31" s="133">
        <v>3007</v>
      </c>
      <c r="C31" s="135">
        <v>0</v>
      </c>
      <c r="D31" s="135">
        <v>7.4352344485060062E-2</v>
      </c>
      <c r="E31" s="135">
        <v>0.56152392475221236</v>
      </c>
      <c r="F31" s="23"/>
      <c r="G31" s="133">
        <f t="shared" si="1"/>
        <v>11001</v>
      </c>
      <c r="H31" s="133">
        <f t="shared" si="2"/>
        <v>3007</v>
      </c>
      <c r="I31" s="139">
        <v>0</v>
      </c>
      <c r="J31" s="139">
        <v>0</v>
      </c>
      <c r="K31" s="139">
        <v>0</v>
      </c>
      <c r="L31" s="4" t="s">
        <v>221</v>
      </c>
    </row>
    <row r="32" spans="1:14" x14ac:dyDescent="0.25">
      <c r="A32" s="133">
        <v>10008</v>
      </c>
      <c r="B32" s="133">
        <v>3007</v>
      </c>
      <c r="C32" s="135">
        <v>0</v>
      </c>
      <c r="D32" s="135">
        <v>7.4352344485060062E-2</v>
      </c>
      <c r="E32" s="135">
        <v>0.56152392475221236</v>
      </c>
      <c r="F32" s="23"/>
      <c r="G32" s="133">
        <f t="shared" si="1"/>
        <v>10008</v>
      </c>
      <c r="H32" s="133">
        <f t="shared" si="2"/>
        <v>3007</v>
      </c>
      <c r="I32" s="139">
        <f>N$25</f>
        <v>0.24496114236111113</v>
      </c>
      <c r="J32" s="139">
        <v>1</v>
      </c>
      <c r="K32" s="139">
        <v>0</v>
      </c>
      <c r="L32" s="4" t="s">
        <v>220</v>
      </c>
    </row>
    <row r="33" spans="1:12" x14ac:dyDescent="0.25">
      <c r="A33" s="133">
        <v>10003</v>
      </c>
      <c r="B33" s="133">
        <v>3007</v>
      </c>
      <c r="C33" s="135">
        <v>0</v>
      </c>
      <c r="D33" s="135">
        <v>7.4352344485060062E-2</v>
      </c>
      <c r="E33" s="135">
        <v>0.56152392475221236</v>
      </c>
      <c r="F33" s="23"/>
      <c r="G33" s="133">
        <f t="shared" si="1"/>
        <v>10003</v>
      </c>
      <c r="H33" s="133">
        <f t="shared" si="2"/>
        <v>3007</v>
      </c>
      <c r="I33" s="139">
        <f>N$25</f>
        <v>0.24496114236111113</v>
      </c>
      <c r="J33" s="139">
        <v>1</v>
      </c>
      <c r="K33" s="139">
        <v>0</v>
      </c>
      <c r="L33" s="4" t="s">
        <v>220</v>
      </c>
    </row>
    <row r="34" spans="1:12" x14ac:dyDescent="0.25">
      <c r="A34" s="133">
        <v>12001</v>
      </c>
      <c r="B34" s="133">
        <v>3007</v>
      </c>
      <c r="C34" s="135">
        <v>0.26948937773704529</v>
      </c>
      <c r="D34" s="135">
        <v>7.4352344485060062E-2</v>
      </c>
      <c r="E34" s="135">
        <v>0.56152392475221236</v>
      </c>
      <c r="F34" s="23"/>
      <c r="G34" s="133">
        <f t="shared" si="1"/>
        <v>12001</v>
      </c>
      <c r="H34" s="133">
        <f t="shared" si="2"/>
        <v>3007</v>
      </c>
      <c r="I34" s="139">
        <v>0</v>
      </c>
      <c r="J34" s="139">
        <v>0</v>
      </c>
      <c r="K34" s="139">
        <v>0</v>
      </c>
      <c r="L34" s="4" t="s">
        <v>222</v>
      </c>
    </row>
    <row r="35" spans="1:12" x14ac:dyDescent="0.25">
      <c r="A35" s="133">
        <v>12002</v>
      </c>
      <c r="B35" s="133">
        <v>3007</v>
      </c>
      <c r="C35" s="135">
        <v>0</v>
      </c>
      <c r="D35" s="135">
        <v>7.4352344485060062E-2</v>
      </c>
      <c r="E35" s="135">
        <v>0.56152392475221236</v>
      </c>
      <c r="F35" s="23"/>
      <c r="G35" s="133">
        <f t="shared" si="1"/>
        <v>12002</v>
      </c>
      <c r="H35" s="133">
        <f t="shared" si="2"/>
        <v>3007</v>
      </c>
      <c r="I35" s="139">
        <v>0</v>
      </c>
      <c r="J35" s="139">
        <v>0</v>
      </c>
      <c r="K35" s="139">
        <v>0</v>
      </c>
      <c r="L35" s="4" t="s">
        <v>222</v>
      </c>
    </row>
    <row r="36" spans="1:12" x14ac:dyDescent="0.25">
      <c r="A36" s="133">
        <v>10005</v>
      </c>
      <c r="B36" s="133">
        <v>3007</v>
      </c>
      <c r="C36" s="135">
        <v>0</v>
      </c>
      <c r="D36" s="135">
        <v>7.4352344485060062E-2</v>
      </c>
      <c r="E36" s="135">
        <v>0.56152392475221236</v>
      </c>
      <c r="F36" s="23"/>
      <c r="G36" s="133">
        <f t="shared" si="1"/>
        <v>10005</v>
      </c>
      <c r="H36" s="133">
        <f t="shared" si="2"/>
        <v>3007</v>
      </c>
      <c r="I36" s="139">
        <f>N$25</f>
        <v>0.24496114236111113</v>
      </c>
      <c r="J36" s="139">
        <v>1</v>
      </c>
      <c r="K36" s="139">
        <v>0</v>
      </c>
      <c r="L36" s="4" t="s">
        <v>220</v>
      </c>
    </row>
    <row r="37" spans="1:12" x14ac:dyDescent="0.25">
      <c r="A37" s="133">
        <v>10002</v>
      </c>
      <c r="B37" s="133">
        <v>3007</v>
      </c>
      <c r="C37" s="135">
        <v>0</v>
      </c>
      <c r="D37" s="135">
        <v>7.4352344485060062E-2</v>
      </c>
      <c r="E37" s="135">
        <v>0.56152392475221236</v>
      </c>
      <c r="F37" s="23"/>
      <c r="G37" s="133">
        <f t="shared" si="1"/>
        <v>10002</v>
      </c>
      <c r="H37" s="133">
        <f t="shared" si="2"/>
        <v>3007</v>
      </c>
      <c r="I37" s="139">
        <f>N$25</f>
        <v>0.24496114236111113</v>
      </c>
      <c r="J37" s="139">
        <v>1</v>
      </c>
      <c r="K37" s="139">
        <v>0</v>
      </c>
      <c r="L37" s="4" t="s">
        <v>220</v>
      </c>
    </row>
    <row r="38" spans="1:12" x14ac:dyDescent="0.25">
      <c r="A38" s="133">
        <v>14002</v>
      </c>
      <c r="B38" s="133">
        <v>3007</v>
      </c>
      <c r="C38" s="135">
        <v>0</v>
      </c>
      <c r="D38" s="135">
        <v>7.4352344485060062E-2</v>
      </c>
      <c r="E38" s="135">
        <v>0.56152392475221236</v>
      </c>
      <c r="F38" s="23"/>
      <c r="G38" s="133">
        <f t="shared" si="1"/>
        <v>14002</v>
      </c>
      <c r="H38" s="133">
        <f t="shared" si="2"/>
        <v>3007</v>
      </c>
      <c r="I38" s="139">
        <v>0</v>
      </c>
      <c r="J38" s="139">
        <v>0</v>
      </c>
      <c r="K38" s="139">
        <v>0</v>
      </c>
      <c r="L38" s="4" t="s">
        <v>222</v>
      </c>
    </row>
    <row r="39" spans="1:12" x14ac:dyDescent="0.25">
      <c r="A39" s="134">
        <v>10006</v>
      </c>
      <c r="B39" s="134">
        <v>3007</v>
      </c>
      <c r="C39" s="136">
        <v>0</v>
      </c>
      <c r="D39" s="136">
        <v>7.4352344485060062E-2</v>
      </c>
      <c r="E39" s="136">
        <v>0.56152392475221236</v>
      </c>
      <c r="F39" s="23"/>
      <c r="G39" s="133">
        <f t="shared" si="1"/>
        <v>10006</v>
      </c>
      <c r="H39" s="133">
        <f t="shared" si="2"/>
        <v>3007</v>
      </c>
      <c r="I39" s="139">
        <f>N$25</f>
        <v>0.24496114236111113</v>
      </c>
      <c r="J39" s="139">
        <v>1</v>
      </c>
      <c r="K39" s="139">
        <v>0</v>
      </c>
      <c r="L39" s="4" t="s">
        <v>220</v>
      </c>
    </row>
    <row r="40" spans="1:12" x14ac:dyDescent="0.25">
      <c r="C40" s="135">
        <f>SUM(C23:C39)</f>
        <v>0.26948937773704529</v>
      </c>
      <c r="I40" s="135">
        <f>SUM(I23:I39)</f>
        <v>2.2046502812500002</v>
      </c>
    </row>
  </sheetData>
  <mergeCells count="1">
    <mergeCell ref="M26:N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activeCell="F34" sqref="F34"/>
    </sheetView>
  </sheetViews>
  <sheetFormatPr defaultRowHeight="12.75" customHeight="1" x14ac:dyDescent="0.2"/>
  <cols>
    <col min="1" max="1" width="24" style="149" customWidth="1"/>
    <col min="2" max="2" width="17.85546875" style="149" customWidth="1"/>
    <col min="3" max="3" width="15.140625" style="149" customWidth="1"/>
    <col min="4" max="4" width="18.42578125" style="149" customWidth="1"/>
    <col min="5" max="5" width="12.7109375" style="149" customWidth="1"/>
    <col min="6" max="16384" width="10.28515625" style="149" customWidth="1"/>
  </cols>
  <sheetData>
    <row r="1" spans="1:7" s="152" customFormat="1" ht="42.75" customHeight="1" x14ac:dyDescent="0.2">
      <c r="A1" s="151" t="s">
        <v>225</v>
      </c>
      <c r="B1" s="152" t="s">
        <v>226</v>
      </c>
      <c r="C1" s="154" t="s">
        <v>227</v>
      </c>
    </row>
    <row r="2" spans="1:7" s="152" customFormat="1" x14ac:dyDescent="0.2">
      <c r="A2" s="154" t="s">
        <v>249</v>
      </c>
      <c r="C2" s="154"/>
    </row>
    <row r="3" spans="1:7" s="152" customFormat="1" ht="17.25" customHeight="1" x14ac:dyDescent="0.2">
      <c r="A3" s="152" t="s">
        <v>236</v>
      </c>
      <c r="B3" s="152" t="s">
        <v>228</v>
      </c>
      <c r="C3" s="152" t="s">
        <v>234</v>
      </c>
      <c r="D3" s="152" t="s">
        <v>235</v>
      </c>
      <c r="E3" s="152" t="s">
        <v>229</v>
      </c>
    </row>
    <row r="4" spans="1:7" x14ac:dyDescent="0.2">
      <c r="A4" s="150" t="s">
        <v>230</v>
      </c>
      <c r="B4" s="158">
        <f>B14*(B12/1000)</f>
        <v>1</v>
      </c>
      <c r="C4" s="159">
        <f>B12*B15</f>
        <v>93750</v>
      </c>
      <c r="D4" s="159">
        <f>B12*B16</f>
        <v>110000</v>
      </c>
      <c r="E4" s="159">
        <f>B12</f>
        <v>250000</v>
      </c>
      <c r="G4" s="153" t="s">
        <v>237</v>
      </c>
    </row>
    <row r="5" spans="1:7" x14ac:dyDescent="0.2">
      <c r="A5" s="150" t="s">
        <v>231</v>
      </c>
      <c r="B5" s="158">
        <v>0.91540552355580684</v>
      </c>
      <c r="C5" s="159">
        <v>27150.920499207383</v>
      </c>
      <c r="D5" s="159">
        <v>39956.204224310924</v>
      </c>
      <c r="E5" s="159">
        <v>73638.069548739513</v>
      </c>
    </row>
    <row r="6" spans="1:7" x14ac:dyDescent="0.2">
      <c r="A6" s="150" t="s">
        <v>232</v>
      </c>
      <c r="B6" s="158">
        <v>0.54022534096293706</v>
      </c>
      <c r="C6" s="159">
        <v>30624.641209489044</v>
      </c>
      <c r="D6" s="159">
        <v>52792.9631614592</v>
      </c>
      <c r="E6" s="159">
        <v>82565.103177251061</v>
      </c>
    </row>
    <row r="7" spans="1:7" x14ac:dyDescent="0.2">
      <c r="A7" s="150" t="s">
        <v>233</v>
      </c>
      <c r="B7" s="158">
        <f>SUM(B4:B6)</f>
        <v>2.4556308645187439</v>
      </c>
      <c r="C7" s="159">
        <f t="shared" ref="C7:E7" si="0">SUM(C4:C6)</f>
        <v>151525.56170869642</v>
      </c>
      <c r="D7" s="159">
        <f t="shared" si="0"/>
        <v>202749.16738577012</v>
      </c>
      <c r="E7" s="159">
        <f t="shared" si="0"/>
        <v>406203.17272599059</v>
      </c>
      <c r="G7" s="153" t="s">
        <v>245</v>
      </c>
    </row>
    <row r="8" spans="1:7" x14ac:dyDescent="0.2">
      <c r="A8" s="150"/>
      <c r="B8" s="158"/>
      <c r="C8" s="159"/>
      <c r="D8" s="159"/>
      <c r="E8" s="159"/>
      <c r="G8" s="153"/>
    </row>
    <row r="9" spans="1:7" ht="12.75" customHeight="1" x14ac:dyDescent="0.2">
      <c r="A9" s="153" t="s">
        <v>247</v>
      </c>
      <c r="B9" s="156">
        <f>B7/B4</f>
        <v>2.4556308645187439</v>
      </c>
      <c r="C9" s="156">
        <f t="shared" ref="C9:E9" si="1">C7/C4</f>
        <v>1.6162726582260951</v>
      </c>
      <c r="D9" s="156">
        <f t="shared" si="1"/>
        <v>1.8431742489615466</v>
      </c>
      <c r="E9" s="156">
        <f t="shared" si="1"/>
        <v>1.6248126909039624</v>
      </c>
      <c r="G9" s="153" t="s">
        <v>246</v>
      </c>
    </row>
    <row r="12" spans="1:7" ht="12.75" customHeight="1" x14ac:dyDescent="0.2">
      <c r="A12" s="153" t="s">
        <v>238</v>
      </c>
      <c r="B12" s="155">
        <v>250000</v>
      </c>
    </row>
    <row r="13" spans="1:7" ht="12.75" customHeight="1" x14ac:dyDescent="0.2">
      <c r="A13" s="153" t="s">
        <v>244</v>
      </c>
      <c r="B13" s="155">
        <v>1000000</v>
      </c>
    </row>
    <row r="14" spans="1:7" ht="12.75" customHeight="1" x14ac:dyDescent="0.2">
      <c r="A14" s="153" t="s">
        <v>239</v>
      </c>
      <c r="B14" s="157">
        <f>1000*4/B13</f>
        <v>4.0000000000000001E-3</v>
      </c>
      <c r="C14" s="153" t="s">
        <v>243</v>
      </c>
    </row>
    <row r="15" spans="1:7" ht="12.75" customHeight="1" x14ac:dyDescent="0.2">
      <c r="A15" s="153" t="s">
        <v>240</v>
      </c>
      <c r="B15" s="157">
        <f>(260000+115000)/B13</f>
        <v>0.375</v>
      </c>
      <c r="C15" s="153" t="s">
        <v>242</v>
      </c>
    </row>
    <row r="16" spans="1:7" ht="12.75" customHeight="1" x14ac:dyDescent="0.2">
      <c r="A16" s="153" t="s">
        <v>241</v>
      </c>
      <c r="B16" s="157">
        <f>440000/B13</f>
        <v>0.44</v>
      </c>
      <c r="C16" s="153" t="s">
        <v>242</v>
      </c>
    </row>
    <row r="20" spans="1:5" ht="12.75" customHeight="1" x14ac:dyDescent="0.2">
      <c r="A20" s="154" t="s">
        <v>250</v>
      </c>
    </row>
    <row r="21" spans="1:5" ht="12.75" customHeight="1" x14ac:dyDescent="0.2">
      <c r="A21" s="160" t="s">
        <v>236</v>
      </c>
      <c r="B21" s="160" t="s">
        <v>228</v>
      </c>
      <c r="C21" s="160" t="s">
        <v>234</v>
      </c>
      <c r="D21" s="160" t="s">
        <v>248</v>
      </c>
      <c r="E21" s="160" t="s">
        <v>229</v>
      </c>
    </row>
    <row r="22" spans="1:5" ht="12.75" customHeight="1" x14ac:dyDescent="0.2">
      <c r="A22" s="3" t="s">
        <v>230</v>
      </c>
      <c r="B22" s="161">
        <f>B4</f>
        <v>1</v>
      </c>
      <c r="C22" s="22">
        <f t="shared" ref="C22:E22" si="2">C4</f>
        <v>93750</v>
      </c>
      <c r="D22" s="22">
        <f t="shared" si="2"/>
        <v>110000</v>
      </c>
      <c r="E22" s="22">
        <f t="shared" si="2"/>
        <v>250000</v>
      </c>
    </row>
    <row r="23" spans="1:5" ht="12.75" customHeight="1" x14ac:dyDescent="0.2">
      <c r="A23" s="3" t="s">
        <v>231</v>
      </c>
      <c r="B23" s="161">
        <v>1</v>
      </c>
      <c r="C23" s="22">
        <v>30168</v>
      </c>
      <c r="D23" s="22">
        <v>45449</v>
      </c>
      <c r="E23" s="22">
        <v>84498</v>
      </c>
    </row>
    <row r="24" spans="1:5" ht="12.75" customHeight="1" x14ac:dyDescent="0.2">
      <c r="A24" s="3" t="s">
        <v>232</v>
      </c>
      <c r="B24" s="161">
        <v>0.6</v>
      </c>
      <c r="C24" s="22">
        <v>31389</v>
      </c>
      <c r="D24" s="22">
        <v>54111</v>
      </c>
      <c r="E24" s="22">
        <v>84627</v>
      </c>
    </row>
    <row r="25" spans="1:5" ht="12.75" customHeight="1" x14ac:dyDescent="0.2">
      <c r="A25" s="3" t="s">
        <v>233</v>
      </c>
      <c r="B25" s="158">
        <f>SUM(B22:B24)</f>
        <v>2.6</v>
      </c>
      <c r="C25" s="159">
        <f t="shared" ref="C25:E25" si="3">SUM(C22:C24)</f>
        <v>155307</v>
      </c>
      <c r="D25" s="159">
        <f t="shared" si="3"/>
        <v>209560</v>
      </c>
      <c r="E25" s="159">
        <f t="shared" si="3"/>
        <v>419125</v>
      </c>
    </row>
    <row r="27" spans="1:5" ht="12.75" customHeight="1" x14ac:dyDescent="0.2">
      <c r="A27" s="153" t="s">
        <v>247</v>
      </c>
      <c r="B27" s="156">
        <f>B25/B22</f>
        <v>2.6</v>
      </c>
      <c r="C27" s="156">
        <f t="shared" ref="C27" si="4">C25/C22</f>
        <v>1.6566080000000001</v>
      </c>
      <c r="D27" s="156">
        <f t="shared" ref="D27" si="5">D25/D22</f>
        <v>1.9050909090909092</v>
      </c>
      <c r="E27" s="156">
        <f t="shared" ref="E27" si="6">E25/E22</f>
        <v>1.6765000000000001</v>
      </c>
    </row>
  </sheetData>
  <pageMargins left="0.75" right="0.75" top="1" bottom="1" header="0.5" footer="0.5"/>
  <pageSetup fitToWidth="0" fitToHeight="0"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Study Area Data</vt:lpstr>
      <vt:lpstr>FH Sales</vt:lpstr>
      <vt:lpstr>FHFarm Sales</vt:lpstr>
      <vt:lpstr>GAC edits</vt:lpstr>
      <vt:lpstr>Commodity Balances</vt:lpstr>
      <vt:lpstr>Commodity Balances T</vt:lpstr>
      <vt:lpstr>Institution Demand</vt:lpstr>
      <vt:lpstr>Impact Summary</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Michael Schmit</dc:creator>
  <cp:lastModifiedBy>Todd Michael Schmit</cp:lastModifiedBy>
  <cp:lastPrinted>2017-01-29T18:11:26Z</cp:lastPrinted>
  <dcterms:created xsi:type="dcterms:W3CDTF">2017-01-22T18:51:49Z</dcterms:created>
  <dcterms:modified xsi:type="dcterms:W3CDTF">2017-02-12T17:09:05Z</dcterms:modified>
</cp:coreProperties>
</file>